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13_ncr:1_{2DE24C53-7085-4546-B9A7-1E76DD674A49}" xr6:coauthVersionLast="47" xr6:coauthVersionMax="47" xr10:uidLastSave="{00000000-0000-0000-0000-000000000000}"/>
  <bookViews>
    <workbookView xWindow="28680" yWindow="-120" windowWidth="29040" windowHeight="15840" firstSheet="1" activeTab="1" xr2:uid="{EDA287F5-79D0-4FF5-98F1-6BE045AC2F7D}"/>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Reconciliation'!$B$6:$O$115</definedName>
    <definedName name="_xlnm.Print_Area" localSheetId="2">'2. Charge and NPR Detail'!$A$2:$H$49</definedName>
    <definedName name="_xlnm.Print_Area" localSheetId="3">'3. Utilization'!$B$1:$D$24</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5" l="1"/>
  <c r="C12" i="15" l="1"/>
  <c r="D25" i="7"/>
  <c r="B10" i="4" l="1"/>
  <c r="B11" i="4"/>
  <c r="B12" i="4"/>
  <c r="B13" i="4"/>
  <c r="B14" i="4"/>
  <c r="C111" i="15" l="1"/>
  <c r="H85" i="15"/>
  <c r="G85" i="15"/>
  <c r="F85" i="15"/>
  <c r="E85" i="15"/>
  <c r="D85" i="15"/>
  <c r="C85" i="15"/>
  <c r="H26" i="15"/>
  <c r="G26" i="15"/>
  <c r="F26" i="15"/>
  <c r="E26" i="15"/>
  <c r="D26" i="15"/>
  <c r="C78" i="15" l="1"/>
  <c r="K23" i="20" l="1"/>
  <c r="J23" i="20"/>
  <c r="I23" i="20"/>
  <c r="H23" i="20"/>
  <c r="G23" i="20"/>
  <c r="F23" i="20"/>
  <c r="E23" i="20"/>
  <c r="D23" i="20"/>
  <c r="C22" i="20"/>
  <c r="C21" i="20"/>
  <c r="C20" i="20"/>
  <c r="C19" i="20"/>
  <c r="C18" i="20"/>
  <c r="C17" i="20"/>
  <c r="C16" i="20"/>
  <c r="C15" i="20"/>
  <c r="C14" i="20"/>
  <c r="C13" i="20"/>
  <c r="C12" i="20"/>
  <c r="C23" i="20" s="1"/>
  <c r="C15" i="7"/>
  <c r="C16" i="7"/>
  <c r="C14" i="7" l="1"/>
  <c r="C13" i="7"/>
  <c r="C12" i="7"/>
  <c r="C11" i="7"/>
  <c r="C23" i="7"/>
  <c r="C26" i="7" s="1"/>
  <c r="C10" i="7"/>
  <c r="C9" i="7"/>
  <c r="D23" i="7"/>
  <c r="C100" i="15" l="1"/>
  <c r="C96" i="15"/>
  <c r="C101" i="15"/>
  <c r="C44" i="15" l="1"/>
  <c r="C42" i="15"/>
  <c r="C40" i="15"/>
  <c r="F70" i="15"/>
  <c r="C17" i="15"/>
  <c r="H23" i="15"/>
  <c r="C22" i="15"/>
  <c r="C21" i="15"/>
  <c r="C20" i="15"/>
  <c r="G23" i="15"/>
  <c r="C19" i="15"/>
  <c r="C18" i="15"/>
  <c r="C16" i="15"/>
  <c r="C15" i="15"/>
  <c r="D23" i="15"/>
  <c r="C14" i="15"/>
  <c r="C13" i="15"/>
  <c r="F11" i="15"/>
  <c r="F23" i="15" s="1"/>
  <c r="C11" i="15" l="1"/>
  <c r="E23" i="15"/>
  <c r="C23" i="15"/>
  <c r="E11" i="8" l="1"/>
  <c r="E10" i="8"/>
  <c r="F12" i="8"/>
  <c r="F11" i="8"/>
  <c r="F10" i="8"/>
  <c r="D12" i="8"/>
  <c r="D10" i="8"/>
  <c r="C36" i="21"/>
  <c r="C23" i="21" l="1"/>
  <c r="D23" i="21"/>
  <c r="D36" i="21" l="1"/>
  <c r="C14" i="16"/>
  <c r="E16" i="16" l="1"/>
  <c r="D35" i="13"/>
  <c r="C21" i="13"/>
  <c r="C32" i="13" s="1"/>
  <c r="C34" i="13" l="1"/>
  <c r="D34" i="13" s="1"/>
  <c r="C22" i="13"/>
  <c r="C33" i="13" s="1"/>
  <c r="E33" i="13"/>
  <c r="J33" i="13"/>
  <c r="I33" i="13"/>
  <c r="I32" i="13"/>
  <c r="F33" i="13"/>
  <c r="I34" i="13"/>
  <c r="H34" i="13"/>
  <c r="J34" i="13"/>
  <c r="H33" i="13"/>
  <c r="H32" i="13"/>
  <c r="F34" i="13"/>
  <c r="I39" i="13"/>
  <c r="F23" i="13"/>
  <c r="F22" i="13"/>
  <c r="J21" i="13"/>
  <c r="F21" i="13"/>
  <c r="F32" i="13" s="1"/>
  <c r="F39" i="13" s="1"/>
  <c r="E22" i="13"/>
  <c r="E21" i="13"/>
  <c r="E32" i="13" s="1"/>
  <c r="E14" i="8"/>
  <c r="F14" i="8"/>
  <c r="D14" i="8"/>
  <c r="D16" i="16"/>
  <c r="F7" i="16"/>
  <c r="D38" i="15"/>
  <c r="G82" i="15"/>
  <c r="G84" i="15" s="1"/>
  <c r="G25" i="15"/>
  <c r="C73" i="15"/>
  <c r="C72" i="15"/>
  <c r="C71" i="15"/>
  <c r="F82" i="15"/>
  <c r="F25" i="15"/>
  <c r="F15" i="16"/>
  <c r="F14" i="16"/>
  <c r="F13" i="16"/>
  <c r="F12" i="16"/>
  <c r="F11" i="16"/>
  <c r="F10" i="16"/>
  <c r="F9" i="16"/>
  <c r="F8" i="16"/>
  <c r="C49" i="13"/>
  <c r="C39" i="13"/>
  <c r="C15" i="13"/>
  <c r="H49" i="13"/>
  <c r="G49" i="13"/>
  <c r="F49" i="13"/>
  <c r="E48" i="13"/>
  <c r="D48" i="13" s="1"/>
  <c r="E47" i="13"/>
  <c r="D47" i="13" s="1"/>
  <c r="E46" i="13"/>
  <c r="D46" i="13" s="1"/>
  <c r="E45" i="13"/>
  <c r="D45" i="13" s="1"/>
  <c r="E44" i="13"/>
  <c r="D44" i="13" s="1"/>
  <c r="H39" i="13"/>
  <c r="G39" i="13"/>
  <c r="J25" i="13"/>
  <c r="I25" i="13"/>
  <c r="H25" i="13"/>
  <c r="G25" i="13"/>
  <c r="F25" i="13"/>
  <c r="E24" i="13"/>
  <c r="E25" i="13" s="1"/>
  <c r="D23" i="13"/>
  <c r="D22" i="13"/>
  <c r="D104" i="15"/>
  <c r="D103" i="15"/>
  <c r="D106" i="15"/>
  <c r="D48" i="15"/>
  <c r="D47" i="15"/>
  <c r="D50" i="15"/>
  <c r="C57" i="15"/>
  <c r="C27" i="21"/>
  <c r="D27" i="21"/>
  <c r="F16" i="16" l="1"/>
  <c r="D32" i="13"/>
  <c r="E39" i="13"/>
  <c r="D33" i="13"/>
  <c r="J32" i="13"/>
  <c r="J39" i="13" s="1"/>
  <c r="F84" i="15"/>
  <c r="D49" i="13"/>
  <c r="C25" i="13"/>
  <c r="D21" i="13"/>
  <c r="C53" i="13"/>
  <c r="C28" i="21"/>
  <c r="C38" i="21" s="1"/>
  <c r="C45" i="21" s="1"/>
  <c r="E49" i="13"/>
  <c r="F53" i="13" s="1"/>
  <c r="D28" i="21"/>
  <c r="D38" i="21" s="1"/>
  <c r="D45" i="21" s="1"/>
  <c r="C28" i="15"/>
  <c r="C39" i="15"/>
  <c r="C95" i="15" s="1"/>
  <c r="C108" i="15" s="1"/>
  <c r="D102" i="15"/>
  <c r="D105" i="15"/>
  <c r="D107" i="15"/>
  <c r="D46" i="15"/>
  <c r="D51" i="15"/>
  <c r="D49" i="15"/>
  <c r="D45" i="15"/>
  <c r="H82" i="15"/>
  <c r="E82" i="15"/>
  <c r="D82" i="15"/>
  <c r="C81" i="15"/>
  <c r="C80" i="15"/>
  <c r="C79" i="15"/>
  <c r="C77" i="15"/>
  <c r="C76" i="15"/>
  <c r="C75" i="15"/>
  <c r="C74" i="15"/>
  <c r="C70" i="15"/>
  <c r="E25" i="15"/>
  <c r="H25" i="15"/>
  <c r="D25" i="15"/>
  <c r="C54" i="13"/>
  <c r="C55" i="13" l="1"/>
  <c r="H84" i="15"/>
  <c r="D39" i="13"/>
  <c r="D53" i="13" s="1"/>
  <c r="E53" i="13" s="1"/>
  <c r="D84" i="15"/>
  <c r="E84" i="15"/>
  <c r="C42" i="21"/>
  <c r="C46" i="21" s="1"/>
  <c r="D42" i="21"/>
  <c r="D46" i="21" s="1"/>
  <c r="B15" i="4"/>
  <c r="C82" i="15"/>
  <c r="C87" i="15" l="1"/>
  <c r="C84" i="15"/>
  <c r="F54" i="13"/>
  <c r="F55" i="13" s="1"/>
  <c r="B7" i="4" l="1"/>
  <c r="B5" i="4"/>
  <c r="C29" i="15"/>
  <c r="C31" i="15" s="1"/>
  <c r="C32" i="15" s="1"/>
  <c r="D101" i="15"/>
  <c r="D100" i="15"/>
  <c r="D99" i="15"/>
  <c r="D98" i="15"/>
  <c r="D97" i="15"/>
  <c r="D96" i="15"/>
  <c r="D95" i="15"/>
  <c r="D94" i="15"/>
  <c r="D108" i="15" l="1"/>
  <c r="C113" i="15"/>
  <c r="C114" i="15" s="1"/>
  <c r="D44" i="15"/>
  <c r="D43" i="15"/>
  <c r="D42" i="15"/>
  <c r="D41" i="15"/>
  <c r="D40" i="15"/>
  <c r="C110" i="15" l="1"/>
  <c r="C25" i="15" l="1"/>
  <c r="C26" i="15" s="1"/>
  <c r="D54" i="13" l="1"/>
  <c r="C52" i="15"/>
  <c r="D39" i="15"/>
  <c r="D52" i="15" s="1"/>
  <c r="D55" i="13" l="1"/>
  <c r="C24" i="15" s="1"/>
  <c r="E54" i="13"/>
  <c r="E55" i="13" s="1"/>
  <c r="C58" i="15"/>
  <c r="C60" i="15" s="1"/>
  <c r="C61" i="15" s="1"/>
  <c r="B6" i="4"/>
  <c r="C54" i="15"/>
  <c r="C5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tc={5643BD2C-6F1E-4237-8B07-43B7EE70FE7F}</author>
  </authors>
  <commentList>
    <comment ref="E18" authorId="0" shapeId="0" xr:uid="{5643BD2C-6F1E-4237-8B07-43B7EE70FE7F}">
      <text>
        <t>[Threaded comment]
Your version of Excel allows you to read this threaded comment; however, any edits to it will get removed if the file is opened in a newer version of Excel. Learn more: https://go.microsoft.com/fwlink/?linkid=870924
Comment:
    Recognized as a credit to unemployment expense - not as revenue</t>
      </text>
    </comment>
  </commentList>
</comments>
</file>

<file path=xl/sharedStrings.xml><?xml version="1.0" encoding="utf-8"?>
<sst xmlns="http://schemas.openxmlformats.org/spreadsheetml/2006/main" count="378" uniqueCount="268">
  <si>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</si>
  <si>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</si>
  <si>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</si>
  <si>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</si>
  <si>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</si>
  <si>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</si>
  <si>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</si>
  <si>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</si>
  <si>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</si>
  <si>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</si>
  <si>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</si>
  <si>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</si>
  <si>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</si>
  <si>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</si>
  <si>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</si>
  <si>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</si>
  <si>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</si>
  <si>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</si>
  <si>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</si>
  <si>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</si>
  <si>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</si>
  <si>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</si>
  <si>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</si>
  <si>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</si>
  <si>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</si>
  <si>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</si>
  <si>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</si>
  <si>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</si>
  <si>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</si>
  <si>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</si>
  <si>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</si>
  <si>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</si>
  <si>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</si>
  <si>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</si>
  <si>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</si>
  <si>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</si>
  <si>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</si>
  <si>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</si>
  <si>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</si>
  <si>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</si>
  <si>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</si>
  <si>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</si>
  <si>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</si>
  <si>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</si>
  <si>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</si>
  <si>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</si>
  <si>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</si>
  <si>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</si>
  <si>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</si>
  <si>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</si>
  <si>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</si>
  <si>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</si>
  <si>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</si>
  <si>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</si>
  <si>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</si>
  <si>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</si>
  <si>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</si>
  <si>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</si>
  <si>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</si>
  <si>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</si>
  <si>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</si>
  <si>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</si>
  <si>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</si>
  <si>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</si>
  <si>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</si>
  <si>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</si>
  <si>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</si>
  <si>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</si>
  <si>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</si>
  <si>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</si>
  <si>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</si>
  <si>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</si>
  <si>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</si>
  <si>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</si>
  <si>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</si>
  <si>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</si>
  <si>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</si>
  <si>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</si>
  <si>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</si>
  <si>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</si>
  <si>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</si>
  <si>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</si>
  <si>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</si>
  <si>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</si>
  <si>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</si>
  <si>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</si>
  <si>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</si>
  <si>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</si>
  <si>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</si>
  <si>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</si>
  <si>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</si>
  <si>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</si>
  <si>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</si>
  <si>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</si>
  <si>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</si>
  <si>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</si>
  <si>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</si>
  <si>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</si>
  <si>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</si>
  <si>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</si>
  <si>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</si>
  <si>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</si>
  <si>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</si>
  <si>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</si>
  <si>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</si>
  <si>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</si>
  <si>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</si>
  <si>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</si>
  <si>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</si>
  <si>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</si>
  <si>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</si>
  <si>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</si>
  <si>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</si>
  <si>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</si>
  <si>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</si>
  <si>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</si>
  <si>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</si>
  <si>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</si>
  <si>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</si>
  <si>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</si>
  <si>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</si>
  <si>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</si>
  <si>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</si>
  <si>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</si>
  <si>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</si>
  <si>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</si>
  <si>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</si>
  <si>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</si>
  <si>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</si>
  <si>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</si>
  <si>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</si>
  <si>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</si>
  <si>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</si>
  <si>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</si>
  <si>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</si>
  <si>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</si>
  <si>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</si>
  <si>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</si>
  <si>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</si>
  <si>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</si>
  <si>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</si>
  <si>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</si>
  <si>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</si>
  <si>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</si>
  <si>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</si>
  <si>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</si>
  <si>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</si>
  <si>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</si>
  <si>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</si>
  <si>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</si>
  <si>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</si>
  <si>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</si>
  <si>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</si>
  <si>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</si>
  <si>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</si>
  <si>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</si>
  <si>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</si>
  <si>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</si>
  <si>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</si>
  <si>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</si>
  <si>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</si>
  <si>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</si>
  <si>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</si>
  <si>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</si>
  <si>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</si>
  <si>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</si>
  <si>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</si>
  <si>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</si>
  <si>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</si>
  <si>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</si>
  <si>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</si>
  <si>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</si>
  <si>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</si>
  <si>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</si>
  <si>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</si>
  <si>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</si>
  <si>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</si>
  <si>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</si>
  <si>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</si>
  <si>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</si>
  <si>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</si>
  <si>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</si>
  <si>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</si>
  <si>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</si>
  <si>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</si>
  <si>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</si>
  <si>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</si>
  <si>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</si>
  <si>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</si>
  <si>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</si>
  <si>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</si>
  <si>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</si>
  <si>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</si>
  <si>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</si>
  <si>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</si>
  <si>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</si>
  <si>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</si>
  <si>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</si>
  <si>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</si>
  <si>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</si>
  <si>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</si>
  <si>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</si>
  <si>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</si>
  <si>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</si>
  <si>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</si>
  <si>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</si>
  <si>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</si>
  <si>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</si>
  <si>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</si>
  <si>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</si>
  <si>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</si>
  <si>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</si>
  <si>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</si>
  <si>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</si>
  <si>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</si>
  <si>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</si>
  <si>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</si>
  <si>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</si>
  <si>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</si>
  <si>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</si>
  <si>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</si>
  <si>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</si>
  <si>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</si>
  <si>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</si>
  <si>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</si>
  <si>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</si>
  <si>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</si>
  <si>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</si>
  <si>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</si>
  <si>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</si>
  <si>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</si>
  <si>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</si>
  <si>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</si>
  <si>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</si>
  <si>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</si>
  <si>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</si>
  <si>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</si>
  <si>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</si>
  <si>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</si>
  <si>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</si>
  <si>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</si>
  <si>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</si>
  <si>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</si>
  <si>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</si>
  <si>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</si>
  <si>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</si>
  <si>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</si>
  <si>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</si>
  <si>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Yes</t>
  </si>
  <si>
    <t>No</t>
  </si>
  <si>
    <t>Surgical Implants</t>
  </si>
  <si>
    <t>Annual increases are effective January 1. % Increase is the assumed inflation, dollars represent 9 month impact included in FY22 budget</t>
  </si>
  <si>
    <t>Traveler RN</t>
  </si>
  <si>
    <t>Based on third party forecasting data</t>
  </si>
  <si>
    <t>Current hourly rate compared with FY2021 budgeted hourly rate. Increases related to hightened demand for traveler nurses during pandemic</t>
  </si>
  <si>
    <t>Includes effects of wage increases on FICA tax, and retirement match. Includes increase in XIX Provider Tax.</t>
  </si>
  <si>
    <t>May 2021 year-to-date</t>
  </si>
  <si>
    <t>Miscellaneous</t>
  </si>
  <si>
    <t>Operating Room</t>
  </si>
  <si>
    <t>Laboratory</t>
  </si>
  <si>
    <t>Diagnostic Imaging</t>
  </si>
  <si>
    <t>Phys Office</t>
  </si>
  <si>
    <t>Emergency</t>
  </si>
  <si>
    <t>Ultrasound</t>
  </si>
  <si>
    <t>Physical Therapy</t>
  </si>
  <si>
    <t>Resp Therapy</t>
  </si>
  <si>
    <t>FEMA Funds</t>
  </si>
  <si>
    <t>Other - Small Donations &amp;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</si>
</sst>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 numFmtId="169" formatCode="_(* #,##0.000_);_(* \(#,##0.000\);_(* &quot;-&quot;??_);_(@_)"/>
    <numFmt numFmtId="170" formatCode="_(* #,##0.0000_);_(* \(#,##0.0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
      <sz val="11"/>
      <color rgb="FF000000"/>
      <name val="Calibri"/>
      <family val="2"/>
      <scheme val="minor"/>
    </font>
    <font>
      <b/>
      <sz val="11"/>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398">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166" fontId="0" fillId="0" borderId="4" xfId="1" applyNumberFormat="1" applyFont="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165" fontId="5" fillId="0" borderId="4" xfId="2" applyNumberFormat="1" applyFont="1" applyBorder="1"/>
    <xf numFmtId="165" fontId="5" fillId="3" borderId="4" xfId="2" applyNumberFormat="1" applyFont="1" applyFill="1" applyBorder="1" applyAlignment="1">
      <alignment wrapText="1"/>
    </xf>
    <xf numFmtId="0" fontId="5" fillId="11" borderId="23" xfId="5" applyFont="1" applyFill="1" applyBorder="1" applyAlignment="1">
      <alignment wrapText="1"/>
    </xf>
    <xf numFmtId="0" fontId="5" fillId="11" borderId="28" xfId="5" applyFont="1" applyFill="1" applyBorder="1" applyAlignment="1">
      <alignment horizontal="left" wrapText="1" indent="3"/>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20" xfId="0" applyFont="1" applyBorder="1"/>
    <xf numFmtId="0" fontId="2" fillId="0" borderId="40" xfId="0" applyFont="1" applyBorder="1" applyAlignment="1">
      <alignment horizontal="left" indent="3"/>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10" fontId="4" fillId="0" borderId="4" xfId="3" applyNumberFormat="1" applyFont="1" applyBorder="1"/>
    <xf numFmtId="10" fontId="25" fillId="3" borderId="4" xfId="3" applyNumberFormat="1" applyFont="1" applyFill="1" applyBorder="1"/>
    <xf numFmtId="165" fontId="4" fillId="0" borderId="0" xfId="5" applyNumberFormat="1"/>
    <xf numFmtId="44" fontId="4" fillId="0" borderId="0" xfId="5" applyNumberFormat="1"/>
    <xf numFmtId="165" fontId="4" fillId="0" borderId="4" xfId="2" applyNumberFormat="1" applyFont="1" applyBorder="1"/>
    <xf numFmtId="165" fontId="4" fillId="3" borderId="4" xfId="2" applyNumberFormat="1" applyFont="1" applyFill="1" applyBorder="1"/>
    <xf numFmtId="165" fontId="4" fillId="0" borderId="0" xfId="2" applyNumberFormat="1" applyFont="1"/>
    <xf numFmtId="165" fontId="4" fillId="5" borderId="0" xfId="5" applyNumberFormat="1" applyFill="1"/>
    <xf numFmtId="44" fontId="4" fillId="5" borderId="0" xfId="5" applyNumberFormat="1" applyFill="1"/>
    <xf numFmtId="165" fontId="4" fillId="11" borderId="0" xfId="2" applyNumberFormat="1" applyFont="1" applyFill="1" applyBorder="1"/>
    <xf numFmtId="165" fontId="4" fillId="11" borderId="36" xfId="2" applyNumberFormat="1" applyFont="1" applyFill="1" applyBorder="1"/>
    <xf numFmtId="165" fontId="4" fillId="11" borderId="14" xfId="2" applyNumberFormat="1" applyFont="1" applyFill="1" applyBorder="1"/>
    <xf numFmtId="165" fontId="4" fillId="11" borderId="37" xfId="2" applyNumberFormat="1" applyFont="1" applyFill="1" applyBorder="1"/>
    <xf numFmtId="165" fontId="4" fillId="17" borderId="34" xfId="2" applyNumberFormat="1" applyFont="1" applyFill="1" applyBorder="1" applyAlignment="1">
      <alignment horizontal="center" wrapText="1"/>
    </xf>
    <xf numFmtId="165" fontId="4" fillId="17" borderId="35" xfId="2" applyNumberFormat="1" applyFont="1" applyFill="1" applyBorder="1" applyAlignment="1">
      <alignment horizontal="center" wrapText="1"/>
    </xf>
    <xf numFmtId="41" fontId="0" fillId="0" borderId="0" xfId="0" applyNumberFormat="1"/>
    <xf numFmtId="164" fontId="0" fillId="3" borderId="4" xfId="2" applyNumberFormat="1" applyFont="1" applyFill="1" applyBorder="1" applyAlignment="1">
      <alignment horizontal="center"/>
    </xf>
    <xf numFmtId="170" fontId="0" fillId="0" borderId="0" xfId="0" applyNumberFormat="1"/>
    <xf numFmtId="165" fontId="0" fillId="0" borderId="0" xfId="2" applyNumberFormat="1" applyFont="1"/>
    <xf numFmtId="0" fontId="30" fillId="0" borderId="0" xfId="0" applyFont="1"/>
    <xf numFmtId="6" fontId="0" fillId="0" borderId="0" xfId="1" applyNumberFormat="1" applyFont="1" applyAlignment="1">
      <alignment horizontal="right"/>
    </xf>
    <xf numFmtId="164" fontId="0" fillId="0" borderId="0" xfId="3" applyNumberFormat="1" applyFont="1"/>
    <xf numFmtId="166" fontId="0" fillId="0" borderId="0" xfId="1" applyNumberFormat="1" applyFont="1" applyAlignment="1">
      <alignment horizontal="right"/>
    </xf>
    <xf numFmtId="164" fontId="0" fillId="0" borderId="0" xfId="1" applyNumberFormat="1" applyFont="1" applyAlignment="1">
      <alignment horizontal="right"/>
    </xf>
    <xf numFmtId="169" fontId="20" fillId="0" borderId="0" xfId="1" applyNumberFormat="1" applyFont="1"/>
    <xf numFmtId="41" fontId="8" fillId="0" borderId="12" xfId="5" applyNumberFormat="1" applyFont="1" applyBorder="1"/>
    <xf numFmtId="41" fontId="8" fillId="0" borderId="13" xfId="5" applyNumberFormat="1" applyFont="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164" fontId="0" fillId="5" borderId="4" xfId="3" applyNumberFormat="1" applyFont="1" applyFill="1" applyBorder="1"/>
    <xf numFmtId="0" fontId="6" fillId="0" borderId="0" xfId="0" applyFont="1" applyFill="1"/>
    <xf numFmtId="9" fontId="4" fillId="11" borderId="0" xfId="3" applyFont="1" applyFill="1" applyBorder="1"/>
    <xf numFmtId="9" fontId="4" fillId="11" borderId="14" xfId="3" applyFont="1" applyFill="1" applyBorder="1"/>
    <xf numFmtId="165" fontId="0" fillId="0" borderId="0" xfId="2" applyNumberFormat="1" applyFont="1" applyFill="1" applyBorder="1" applyAlignment="1">
      <alignment horizontal="center"/>
    </xf>
    <xf numFmtId="165" fontId="0" fillId="0" borderId="4" xfId="1" applyNumberFormat="1" applyFont="1" applyFill="1" applyBorder="1" applyProtection="1">
      <protection locked="0"/>
    </xf>
    <xf numFmtId="165" fontId="0" fillId="5" borderId="0" xfId="2" applyNumberFormat="1" applyFont="1" applyFill="1" applyBorder="1" applyAlignment="1">
      <alignment horizontal="center"/>
    </xf>
    <xf numFmtId="164" fontId="4" fillId="0" borderId="4" xfId="3" applyNumberFormat="1" applyFont="1" applyBorder="1"/>
    <xf numFmtId="164" fontId="4" fillId="6" borderId="4" xfId="3" applyNumberFormat="1" applyFont="1" applyFill="1" applyBorder="1"/>
    <xf numFmtId="164" fontId="5" fillId="0" borderId="4" xfId="3" applyNumberFormat="1" applyFont="1" applyBorder="1"/>
    <xf numFmtId="0" fontId="2" fillId="0" borderId="19" xfId="0" applyFont="1" applyBorder="1" applyAlignment="1">
      <alignment horizontal="center" vertical="center"/>
    </xf>
    <xf numFmtId="41" fontId="1" fillId="0" borderId="0" xfId="0" applyNumberFormat="1" applyFont="1"/>
    <xf numFmtId="41" fontId="1" fillId="0" borderId="17" xfId="0" applyNumberFormat="1" applyFont="1" applyBorder="1"/>
    <xf numFmtId="41" fontId="1" fillId="0" borderId="14" xfId="0" applyNumberFormat="1" applyFont="1" applyBorder="1"/>
    <xf numFmtId="41" fontId="1" fillId="0" borderId="10" xfId="0" applyNumberFormat="1" applyFont="1" applyBorder="1"/>
    <xf numFmtId="165" fontId="1" fillId="0" borderId="27" xfId="2" applyNumberFormat="1" applyFont="1" applyBorder="1"/>
    <xf numFmtId="165" fontId="1" fillId="0" borderId="40" xfId="2" applyNumberFormat="1" applyFont="1" applyBorder="1"/>
    <xf numFmtId="165" fontId="1" fillId="0" borderId="38" xfId="2" applyNumberFormat="1" applyFont="1" applyBorder="1"/>
    <xf numFmtId="165" fontId="1" fillId="0" borderId="39" xfId="2" applyNumberFormat="1" applyFont="1" applyBorder="1"/>
    <xf numFmtId="167" fontId="4" fillId="0" borderId="0" xfId="5" applyNumberFormat="1"/>
    <xf numFmtId="10" fontId="0" fillId="5" borderId="4" xfId="3" applyNumberFormat="1" applyFont="1" applyFill="1" applyBorder="1"/>
    <xf numFmtId="0" fontId="31" fillId="0" borderId="0" xfId="5" applyFont="1" applyFill="1"/>
    <xf numFmtId="167" fontId="31" fillId="0" borderId="0" xfId="5" applyNumberFormat="1" applyFont="1" applyFill="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4" fillId="0" borderId="4" xfId="5" applyNumberFormat="1" applyBorder="1" applyAlignment="1">
      <alignment horizontal="left"/>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haredStrings" Target="sharedString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theme" Target="theme/theme1.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Stephanie Breault" id="{CBF86DF7-7A9A-43DD-A863-76586358FDCC}" userId="S::sbreault@nmcinc.org::caa6253b-636c-4ce2-a553-3c653cb6cb9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8" dT="2021-06-29T12:44:53.41" personId="{CBF86DF7-7A9A-43DD-A863-76586358FDCC}" id="{5643BD2C-6F1E-4237-8B07-43B7EE70FE7F}">
    <text>Recognized as a credit to unemployment expense - not as revenue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5"/>
  <sheetViews>
    <sheetView workbookViewId="0">
      <selection activeCell="B32" sqref="B32"/>
    </sheetView>
  </sheetViews>
  <sheetFormatPr defaultRowHeight="15" x14ac:dyDescent="0.25"/>
  <cols>
    <col min="1" max="1" width="16.28515625" customWidth="1"/>
    <col min="2" max="2" width="66.7109375" style="27" customWidth="1"/>
    <col min="3" max="3" width="17.42578125" customWidth="1"/>
  </cols>
  <sheetData>
    <row r="1" spans="1:3" ht="18.75" x14ac:dyDescent="0.3">
      <c r="A1" s="318" t="s">
        <v>0</v>
      </c>
      <c r="B1" s="318"/>
    </row>
    <row r="2" spans="1:3" x14ac:dyDescent="0.25">
      <c r="A2" s="319" t="s">
        <v>1</v>
      </c>
      <c r="B2" s="319"/>
    </row>
    <row r="3" spans="1:3" ht="166.9" customHeight="1" x14ac:dyDescent="0.25">
      <c r="A3" s="317" t="s">
        <v>215</v>
      </c>
      <c r="B3" s="317"/>
    </row>
    <row r="4" spans="1:3" x14ac:dyDescent="0.25">
      <c r="B4" s="46"/>
    </row>
    <row r="5" spans="1:3" ht="15.75" x14ac:dyDescent="0.25">
      <c r="A5" s="108" t="s">
        <v>2</v>
      </c>
      <c r="B5" s="26" t="s">
        <v>3</v>
      </c>
      <c r="C5" s="45"/>
    </row>
    <row r="6" spans="1:3" ht="15.75" x14ac:dyDescent="0.25">
      <c r="A6" s="108" t="s">
        <v>2</v>
      </c>
      <c r="B6" s="45" t="s">
        <v>4</v>
      </c>
      <c r="C6" s="45"/>
    </row>
    <row r="7" spans="1:3" ht="15.75" x14ac:dyDescent="0.25">
      <c r="A7" s="107" t="s">
        <v>5</v>
      </c>
      <c r="B7" s="45" t="s">
        <v>6</v>
      </c>
      <c r="C7" s="45"/>
    </row>
    <row r="8" spans="1:3" ht="15.75" x14ac:dyDescent="0.25">
      <c r="A8" s="108" t="s">
        <v>2</v>
      </c>
      <c r="B8" s="26" t="s">
        <v>7</v>
      </c>
      <c r="C8" s="45"/>
    </row>
    <row r="9" spans="1:3" ht="15.75" x14ac:dyDescent="0.25">
      <c r="A9" s="108" t="s">
        <v>2</v>
      </c>
      <c r="B9" s="26" t="s">
        <v>8</v>
      </c>
      <c r="C9" s="45"/>
    </row>
    <row r="10" spans="1:3" ht="15.75" x14ac:dyDescent="0.25">
      <c r="A10" s="108" t="s">
        <v>2</v>
      </c>
      <c r="B10" s="26" t="s">
        <v>9</v>
      </c>
      <c r="C10" s="45"/>
    </row>
    <row r="11" spans="1:3" ht="15.75" x14ac:dyDescent="0.25">
      <c r="A11" s="108" t="s">
        <v>2</v>
      </c>
      <c r="B11" s="26" t="s">
        <v>10</v>
      </c>
      <c r="C11" s="45"/>
    </row>
    <row r="12" spans="1:3" ht="15.75" x14ac:dyDescent="0.25">
      <c r="A12" s="108" t="s">
        <v>2</v>
      </c>
      <c r="B12" s="45" t="s">
        <v>11</v>
      </c>
      <c r="C12" s="45"/>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197</v>
      </c>
    </row>
    <row r="3" spans="2:5" x14ac:dyDescent="0.25">
      <c r="B3" t="s">
        <v>198</v>
      </c>
      <c r="C3" t="s">
        <v>199</v>
      </c>
      <c r="D3" t="s">
        <v>167</v>
      </c>
      <c r="E3" t="s">
        <v>166</v>
      </c>
    </row>
    <row r="4" spans="2:5" x14ac:dyDescent="0.25">
      <c r="B4" s="16" t="s">
        <v>200</v>
      </c>
      <c r="C4" s="25">
        <v>180</v>
      </c>
      <c r="D4" s="25">
        <v>100</v>
      </c>
      <c r="E4" s="16" t="s">
        <v>201</v>
      </c>
    </row>
    <row r="5" spans="2:5" x14ac:dyDescent="0.25">
      <c r="B5" s="16" t="s">
        <v>202</v>
      </c>
      <c r="C5" s="25">
        <v>163</v>
      </c>
      <c r="D5" s="25">
        <v>100</v>
      </c>
      <c r="E5" s="25">
        <v>85</v>
      </c>
    </row>
    <row r="6" spans="2:5" x14ac:dyDescent="0.25">
      <c r="B6" s="16" t="s">
        <v>203</v>
      </c>
      <c r="C6" s="25">
        <v>186</v>
      </c>
      <c r="D6" s="25">
        <v>100</v>
      </c>
      <c r="E6" s="25">
        <v>58</v>
      </c>
    </row>
    <row r="7" spans="2:5" x14ac:dyDescent="0.25">
      <c r="B7" s="16" t="s">
        <v>204</v>
      </c>
      <c r="C7" s="25">
        <v>92</v>
      </c>
      <c r="D7" s="25">
        <v>100</v>
      </c>
      <c r="E7" s="25">
        <v>52</v>
      </c>
    </row>
    <row r="8" spans="2:5" x14ac:dyDescent="0.25">
      <c r="B8" s="16" t="s">
        <v>205</v>
      </c>
      <c r="C8" s="25">
        <v>166</v>
      </c>
      <c r="D8" s="25">
        <v>100</v>
      </c>
      <c r="E8" s="25">
        <v>76</v>
      </c>
    </row>
    <row r="9" spans="2:5" x14ac:dyDescent="0.25">
      <c r="B9" s="16" t="s">
        <v>206</v>
      </c>
      <c r="C9" s="25">
        <v>130</v>
      </c>
      <c r="D9" s="25">
        <v>100</v>
      </c>
      <c r="E9" s="25">
        <v>75</v>
      </c>
    </row>
    <row r="10" spans="2:5" x14ac:dyDescent="0.25">
      <c r="B10" s="16" t="s">
        <v>207</v>
      </c>
      <c r="C10" s="25">
        <v>160</v>
      </c>
      <c r="D10" s="25">
        <v>100</v>
      </c>
      <c r="E10" s="25">
        <v>79</v>
      </c>
    </row>
    <row r="11" spans="2:5" x14ac:dyDescent="0.25">
      <c r="B11" s="16" t="s">
        <v>208</v>
      </c>
      <c r="C11" s="25">
        <v>120</v>
      </c>
      <c r="D11" s="25">
        <v>100</v>
      </c>
      <c r="E11" s="25">
        <v>81</v>
      </c>
    </row>
    <row r="12" spans="2:5" x14ac:dyDescent="0.25">
      <c r="B12" s="16" t="s">
        <v>209</v>
      </c>
      <c r="C12" s="25">
        <v>160</v>
      </c>
      <c r="D12" s="25">
        <v>100</v>
      </c>
      <c r="E12" s="25">
        <v>72</v>
      </c>
    </row>
    <row r="13" spans="2:5" x14ac:dyDescent="0.25">
      <c r="B13" s="16" t="s">
        <v>210</v>
      </c>
      <c r="C13" s="25">
        <v>150</v>
      </c>
      <c r="D13" s="25">
        <v>100</v>
      </c>
      <c r="E13" s="16">
        <v>55</v>
      </c>
    </row>
    <row r="14" spans="2:5" x14ac:dyDescent="0.25">
      <c r="B14" s="16" t="s">
        <v>211</v>
      </c>
      <c r="C14" s="25">
        <v>264</v>
      </c>
      <c r="D14" s="25">
        <v>100</v>
      </c>
      <c r="E14" s="25">
        <v>44</v>
      </c>
    </row>
    <row r="15" spans="2:5" x14ac:dyDescent="0.25">
      <c r="B15" s="16" t="s">
        <v>212</v>
      </c>
      <c r="C15" s="25">
        <v>178</v>
      </c>
      <c r="D15" s="25">
        <v>100</v>
      </c>
      <c r="E15" s="25">
        <v>108</v>
      </c>
    </row>
    <row r="16" spans="2:5" x14ac:dyDescent="0.25">
      <c r="B16" s="16" t="s">
        <v>213</v>
      </c>
      <c r="C16" s="25">
        <v>185</v>
      </c>
      <c r="D16" s="25">
        <v>100</v>
      </c>
      <c r="E16" s="25">
        <v>89</v>
      </c>
    </row>
    <row r="17" spans="2:5" x14ac:dyDescent="0.25">
      <c r="B17" s="16" t="s">
        <v>214</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F180-1378-404F-9C48-95730C787581}">
  <sheetPr>
    <tabColor theme="7"/>
  </sheetPr>
  <dimension ref="A2:W114"/>
  <sheetViews>
    <sheetView showGridLines="0" tabSelected="1" topLeftCell="A10" zoomScaleNormal="100" zoomScaleSheetLayoutView="80" workbookViewId="0">
      <selection activeCell="F31" sqref="F31"/>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21" t="s">
        <v>12</v>
      </c>
      <c r="C2" s="321"/>
      <c r="D2" s="321"/>
      <c r="E2" s="321"/>
      <c r="F2" s="321"/>
      <c r="G2" s="321"/>
      <c r="H2" s="321"/>
      <c r="I2" s="321"/>
      <c r="J2" s="321"/>
      <c r="K2" s="321"/>
      <c r="L2" s="321"/>
      <c r="M2" s="321"/>
      <c r="N2" s="321"/>
      <c r="O2" s="321"/>
    </row>
    <row r="3" spans="1:15" ht="21" x14ac:dyDescent="0.35">
      <c r="B3" s="322" t="s">
        <v>13</v>
      </c>
      <c r="C3" s="323"/>
      <c r="D3" s="323"/>
      <c r="E3" s="323"/>
      <c r="F3" s="323"/>
      <c r="G3" s="323"/>
      <c r="H3" s="323"/>
      <c r="I3" s="323"/>
      <c r="J3" s="323"/>
      <c r="K3" s="323"/>
      <c r="L3" s="323"/>
      <c r="M3" s="323"/>
      <c r="N3" s="323"/>
      <c r="O3" s="324"/>
    </row>
    <row r="4" spans="1:15" ht="21" x14ac:dyDescent="0.35">
      <c r="B4" s="328" t="s">
        <v>14</v>
      </c>
      <c r="C4" s="329"/>
      <c r="D4" s="329"/>
      <c r="E4" s="329"/>
      <c r="F4" s="329"/>
      <c r="G4" s="329"/>
      <c r="H4" s="329"/>
      <c r="I4" s="329"/>
      <c r="J4" s="329"/>
      <c r="K4" s="329"/>
      <c r="L4" s="329"/>
      <c r="M4" s="329"/>
      <c r="N4" s="329"/>
      <c r="O4" s="330"/>
    </row>
    <row r="6" spans="1:15" ht="18.75" x14ac:dyDescent="0.3">
      <c r="B6" s="325" t="s">
        <v>15</v>
      </c>
      <c r="C6" s="326"/>
      <c r="D6" s="326"/>
      <c r="E6" s="326"/>
      <c r="F6" s="326"/>
      <c r="G6" s="326"/>
      <c r="H6" s="326"/>
      <c r="I6" s="326"/>
      <c r="J6" s="326"/>
      <c r="K6" s="326"/>
      <c r="L6" s="326"/>
      <c r="M6" s="326"/>
      <c r="N6" s="326"/>
      <c r="O6" s="327"/>
    </row>
    <row r="7" spans="1:15" s="57" customFormat="1" ht="18.75" x14ac:dyDescent="0.3">
      <c r="B7" s="56"/>
      <c r="C7" s="56"/>
      <c r="D7" s="56"/>
      <c r="E7" s="56"/>
      <c r="F7" s="56"/>
      <c r="G7" s="56"/>
      <c r="H7" s="56"/>
      <c r="I7" s="56"/>
      <c r="J7" s="56"/>
      <c r="K7" s="56"/>
      <c r="L7" s="56"/>
      <c r="M7" s="56"/>
      <c r="N7" s="56"/>
      <c r="O7" s="56"/>
    </row>
    <row r="8" spans="1:15" ht="18.75" x14ac:dyDescent="0.3">
      <c r="B8" s="92" t="s">
        <v>16</v>
      </c>
      <c r="C8" s="4"/>
    </row>
    <row r="9" spans="1:15" ht="22.15" customHeight="1" x14ac:dyDescent="0.3">
      <c r="B9" s="4"/>
      <c r="C9" s="4"/>
      <c r="E9" s="85"/>
      <c r="F9" s="85"/>
      <c r="G9" s="85"/>
      <c r="H9" s="85"/>
      <c r="I9" s="85"/>
      <c r="K9" s="28"/>
    </row>
    <row r="10" spans="1:15" s="99" customFormat="1" ht="30" x14ac:dyDescent="0.25">
      <c r="B10" s="97" t="s">
        <v>17</v>
      </c>
      <c r="C10" s="97" t="s">
        <v>18</v>
      </c>
      <c r="D10" s="97" t="s">
        <v>19</v>
      </c>
      <c r="E10" s="97" t="s">
        <v>20</v>
      </c>
      <c r="F10" s="97" t="s">
        <v>21</v>
      </c>
      <c r="G10" s="97" t="s">
        <v>219</v>
      </c>
      <c r="H10" s="97" t="s">
        <v>240</v>
      </c>
      <c r="I10" s="98"/>
      <c r="J10" s="100"/>
    </row>
    <row r="11" spans="1:15" x14ac:dyDescent="0.25">
      <c r="B11" s="5" t="s">
        <v>22</v>
      </c>
      <c r="C11" s="90">
        <f>SUM(D11:H11)</f>
        <v>112015717</v>
      </c>
      <c r="D11" s="289">
        <v>31172295</v>
      </c>
      <c r="E11" s="90">
        <v>19910860</v>
      </c>
      <c r="F11" s="90">
        <f>60182562-G11</f>
        <v>52570252</v>
      </c>
      <c r="G11" s="90">
        <v>7612310</v>
      </c>
      <c r="H11" s="90">
        <v>750000</v>
      </c>
    </row>
    <row r="12" spans="1:15" ht="14.45" customHeight="1" x14ac:dyDescent="0.25">
      <c r="A12" s="331"/>
      <c r="B12" s="8" t="s">
        <v>56</v>
      </c>
      <c r="C12" s="90">
        <f>SUM(D12:H12)</f>
        <v>2013804</v>
      </c>
      <c r="D12" s="290">
        <v>96812</v>
      </c>
      <c r="E12" s="291">
        <v>6598</v>
      </c>
      <c r="F12" s="299">
        <v>1910394</v>
      </c>
      <c r="G12" s="299"/>
      <c r="H12" s="299"/>
    </row>
    <row r="13" spans="1:15" x14ac:dyDescent="0.25">
      <c r="A13" s="331"/>
      <c r="B13" s="8" t="s">
        <v>57</v>
      </c>
      <c r="C13" s="90">
        <f>SUM(D13:H13)</f>
        <v>297564</v>
      </c>
      <c r="D13" s="290"/>
      <c r="E13" s="291"/>
      <c r="F13" s="292"/>
      <c r="G13" s="292"/>
      <c r="H13" s="292">
        <v>297564</v>
      </c>
    </row>
    <row r="14" spans="1:15" x14ac:dyDescent="0.25">
      <c r="A14" s="331"/>
      <c r="B14" s="8" t="s">
        <v>58</v>
      </c>
      <c r="C14" s="90">
        <f>SUM(D14:H14)</f>
        <v>-1148786</v>
      </c>
      <c r="D14" s="290">
        <v>-14915</v>
      </c>
      <c r="E14" s="291">
        <v>-213694</v>
      </c>
      <c r="F14" s="292">
        <v>-920177</v>
      </c>
      <c r="G14" s="292"/>
      <c r="H14" s="292"/>
    </row>
    <row r="15" spans="1:15" x14ac:dyDescent="0.25">
      <c r="A15" s="331"/>
      <c r="B15" s="8" t="s">
        <v>59</v>
      </c>
      <c r="C15" s="90">
        <f t="shared" ref="C15:C22" si="0">SUM(D15:H15)</f>
        <v>3701440</v>
      </c>
      <c r="D15" s="290">
        <v>2203476</v>
      </c>
      <c r="E15" s="291">
        <v>1240242</v>
      </c>
      <c r="F15" s="292">
        <v>257722</v>
      </c>
      <c r="G15" s="292">
        <v>0</v>
      </c>
      <c r="H15" s="292">
        <v>0</v>
      </c>
    </row>
    <row r="16" spans="1:15" x14ac:dyDescent="0.25">
      <c r="A16" s="331"/>
      <c r="B16" s="10" t="s">
        <v>25</v>
      </c>
      <c r="C16" s="90">
        <f t="shared" si="0"/>
        <v>0</v>
      </c>
      <c r="D16" s="290"/>
      <c r="E16" s="291"/>
      <c r="F16" s="293"/>
      <c r="G16" s="293"/>
      <c r="H16" s="293"/>
    </row>
    <row r="17" spans="1:23" x14ac:dyDescent="0.25">
      <c r="A17" s="331"/>
      <c r="B17" s="10" t="s">
        <v>26</v>
      </c>
      <c r="C17" s="90">
        <f t="shared" si="0"/>
        <v>0</v>
      </c>
      <c r="D17" s="290"/>
      <c r="E17" s="291"/>
      <c r="F17" s="292"/>
      <c r="G17" s="292"/>
      <c r="H17" s="292"/>
    </row>
    <row r="18" spans="1:23" x14ac:dyDescent="0.25">
      <c r="A18" s="331"/>
      <c r="B18" s="10" t="s">
        <v>27</v>
      </c>
      <c r="C18" s="90">
        <f t="shared" si="0"/>
        <v>-856430</v>
      </c>
      <c r="D18" s="290">
        <v>429565</v>
      </c>
      <c r="E18" s="291">
        <v>-5680173</v>
      </c>
      <c r="F18" s="292">
        <v>4394178</v>
      </c>
      <c r="G18" s="292"/>
      <c r="H18" s="292"/>
    </row>
    <row r="19" spans="1:23" x14ac:dyDescent="0.25">
      <c r="A19" s="331"/>
      <c r="B19" s="10" t="s">
        <v>60</v>
      </c>
      <c r="C19" s="90">
        <f t="shared" si="0"/>
        <v>-97776</v>
      </c>
      <c r="D19" s="290"/>
      <c r="E19" s="291"/>
      <c r="F19" s="292"/>
      <c r="G19" s="292">
        <v>-97776</v>
      </c>
      <c r="H19" s="292"/>
    </row>
    <row r="20" spans="1:23" x14ac:dyDescent="0.25">
      <c r="B20" s="89" t="s">
        <v>28</v>
      </c>
      <c r="C20" s="90">
        <f t="shared" si="0"/>
        <v>0</v>
      </c>
      <c r="D20" s="290"/>
      <c r="E20" s="291"/>
      <c r="F20" s="293"/>
      <c r="G20" s="293"/>
      <c r="H20" s="293"/>
      <c r="O20" s="22"/>
      <c r="P20" s="23"/>
    </row>
    <row r="21" spans="1:23" x14ac:dyDescent="0.25">
      <c r="B21" s="89" t="s">
        <v>28</v>
      </c>
      <c r="C21" s="90">
        <f t="shared" si="0"/>
        <v>0</v>
      </c>
      <c r="D21" s="290"/>
      <c r="E21" s="291"/>
      <c r="F21" s="293"/>
      <c r="G21" s="293"/>
      <c r="H21" s="293"/>
      <c r="O21" s="22"/>
      <c r="P21" s="23"/>
    </row>
    <row r="22" spans="1:23" x14ac:dyDescent="0.25">
      <c r="B22" s="89" t="s">
        <v>28</v>
      </c>
      <c r="C22" s="90">
        <f t="shared" si="0"/>
        <v>0</v>
      </c>
      <c r="D22" s="290"/>
      <c r="E22" s="291"/>
      <c r="F22" s="293"/>
      <c r="G22" s="293"/>
      <c r="H22" s="293"/>
      <c r="O22" s="22"/>
      <c r="P22" s="23"/>
    </row>
    <row r="23" spans="1:23" x14ac:dyDescent="0.25">
      <c r="B23" s="11" t="s">
        <v>29</v>
      </c>
      <c r="C23" s="6">
        <f t="shared" ref="C23:H23" si="1">SUM(C11:C22)</f>
        <v>115925533</v>
      </c>
      <c r="D23" s="53">
        <f t="shared" si="1"/>
        <v>33887233</v>
      </c>
      <c r="E23" s="53">
        <f t="shared" si="1"/>
        <v>15263833</v>
      </c>
      <c r="F23" s="53">
        <f t="shared" si="1"/>
        <v>58212369</v>
      </c>
      <c r="G23" s="53">
        <f t="shared" si="1"/>
        <v>7514534</v>
      </c>
      <c r="H23" s="53">
        <f t="shared" si="1"/>
        <v>1047564</v>
      </c>
      <c r="O23" s="22"/>
      <c r="P23" s="23"/>
    </row>
    <row r="24" spans="1:23" x14ac:dyDescent="0.25">
      <c r="C24" s="14">
        <f>'2. Charge and NPR Detail'!D55</f>
        <v>0</v>
      </c>
      <c r="D24" s="15"/>
      <c r="O24" s="22"/>
      <c r="P24" s="23"/>
    </row>
    <row r="25" spans="1:23" x14ac:dyDescent="0.25">
      <c r="B25" s="29" t="s">
        <v>30</v>
      </c>
      <c r="C25" s="65">
        <f t="shared" ref="C25:H25" si="2">+C23-C11</f>
        <v>3909816</v>
      </c>
      <c r="D25" s="19">
        <f t="shared" si="2"/>
        <v>2714938</v>
      </c>
      <c r="E25" s="19">
        <f t="shared" si="2"/>
        <v>-4647027</v>
      </c>
      <c r="F25" s="19">
        <f t="shared" si="2"/>
        <v>5642117</v>
      </c>
      <c r="G25" s="19">
        <f t="shared" si="2"/>
        <v>-97776</v>
      </c>
      <c r="H25" s="19">
        <f t="shared" si="2"/>
        <v>297564</v>
      </c>
      <c r="O25" s="22"/>
      <c r="P25" s="23"/>
    </row>
    <row r="26" spans="1:23" x14ac:dyDescent="0.25">
      <c r="B26" s="54" t="s">
        <v>31</v>
      </c>
      <c r="C26" s="294">
        <f>(C25)/C11</f>
        <v>3.4904173313464577E-2</v>
      </c>
      <c r="D26" s="55">
        <f t="shared" ref="D26:H26" si="3">(D25)/D11</f>
        <v>8.7094581903578161E-2</v>
      </c>
      <c r="E26" s="55">
        <f t="shared" si="3"/>
        <v>-0.23339157625537019</v>
      </c>
      <c r="F26" s="55">
        <f t="shared" si="3"/>
        <v>0.10732527970381424</v>
      </c>
      <c r="G26" s="55">
        <f t="shared" si="3"/>
        <v>-1.2844458515220741E-2</v>
      </c>
      <c r="H26" s="55">
        <f t="shared" si="3"/>
        <v>0.39675199999999999</v>
      </c>
      <c r="O26" s="22"/>
      <c r="P26" s="23"/>
    </row>
    <row r="27" spans="1:23" x14ac:dyDescent="0.25">
      <c r="B27" s="205"/>
      <c r="C27" s="60"/>
      <c r="D27" s="60"/>
      <c r="E27" s="60"/>
      <c r="F27" s="60"/>
      <c r="G27" s="60"/>
      <c r="H27" s="60"/>
      <c r="O27" s="22"/>
      <c r="P27" s="23"/>
    </row>
    <row r="28" spans="1:23" x14ac:dyDescent="0.25">
      <c r="B28" s="29" t="s">
        <v>32</v>
      </c>
      <c r="C28" s="65">
        <f>'5. Vaccine Clinics and Testing'!D23</f>
        <v>1681543</v>
      </c>
      <c r="D28" s="60"/>
      <c r="E28" s="60"/>
      <c r="F28" s="60"/>
      <c r="G28" s="60"/>
      <c r="H28" s="60"/>
      <c r="O28" s="22"/>
      <c r="P28" s="23"/>
    </row>
    <row r="29" spans="1:23" ht="30" x14ac:dyDescent="0.25">
      <c r="B29" s="206" t="s">
        <v>33</v>
      </c>
      <c r="C29" s="207">
        <f>C23-C28</f>
        <v>114243990</v>
      </c>
      <c r="D29" s="15"/>
      <c r="E29" s="15"/>
      <c r="K29" s="23"/>
      <c r="L29" s="23"/>
      <c r="M29" s="14"/>
      <c r="N29" s="24"/>
      <c r="V29" s="22"/>
      <c r="W29" s="23"/>
    </row>
    <row r="30" spans="1:23" x14ac:dyDescent="0.25">
      <c r="B30" s="205"/>
      <c r="C30" s="60"/>
      <c r="D30" s="15"/>
      <c r="E30" s="15"/>
      <c r="K30" s="23"/>
      <c r="L30" s="23"/>
      <c r="M30" s="14"/>
      <c r="N30" s="24"/>
      <c r="V30" s="22"/>
      <c r="W30" s="23"/>
    </row>
    <row r="31" spans="1:23" x14ac:dyDescent="0.25">
      <c r="B31" s="29" t="s">
        <v>34</v>
      </c>
      <c r="C31" s="65">
        <f>C29-C11</f>
        <v>2228273</v>
      </c>
      <c r="D31" s="15"/>
      <c r="E31" s="15"/>
      <c r="O31" s="22"/>
      <c r="P31" s="23"/>
    </row>
    <row r="32" spans="1:23" x14ac:dyDescent="0.25">
      <c r="B32" s="54" t="s">
        <v>35</v>
      </c>
      <c r="C32" s="294">
        <f>C31/C11</f>
        <v>1.9892503120789738E-2</v>
      </c>
      <c r="D32" s="15"/>
      <c r="E32" s="15"/>
      <c r="O32" s="22"/>
      <c r="P32" s="23"/>
    </row>
    <row r="33" spans="2:23" x14ac:dyDescent="0.25">
      <c r="B33" s="205"/>
      <c r="C33" s="60"/>
      <c r="D33" s="60"/>
      <c r="E33" s="60"/>
      <c r="F33" s="60"/>
      <c r="G33" s="60"/>
      <c r="H33" s="60"/>
      <c r="O33" s="22"/>
      <c r="P33" s="23"/>
    </row>
    <row r="34" spans="2:23" ht="28.15" customHeight="1" x14ac:dyDescent="0.3">
      <c r="B34" s="92" t="s">
        <v>36</v>
      </c>
      <c r="C34" s="4"/>
      <c r="D34" s="15"/>
      <c r="E34" s="15"/>
      <c r="V34" s="22"/>
      <c r="W34" s="23"/>
    </row>
    <row r="35" spans="2:23" ht="18.75" x14ac:dyDescent="0.3">
      <c r="B35" s="92"/>
      <c r="C35" s="4"/>
      <c r="D35" s="15"/>
      <c r="E35" s="15"/>
      <c r="V35" s="22"/>
      <c r="W35" s="23"/>
    </row>
    <row r="36" spans="2:23" s="88" customFormat="1" x14ac:dyDescent="0.25">
      <c r="B36" s="94" t="s">
        <v>37</v>
      </c>
      <c r="C36" s="94" t="s">
        <v>38</v>
      </c>
      <c r="D36" s="94" t="s">
        <v>39</v>
      </c>
      <c r="E36" s="51"/>
      <c r="V36" s="95"/>
      <c r="W36" s="96"/>
    </row>
    <row r="37" spans="2:23" x14ac:dyDescent="0.25">
      <c r="B37" s="5" t="s">
        <v>40</v>
      </c>
      <c r="C37" s="90">
        <v>119362165</v>
      </c>
      <c r="D37" s="7"/>
      <c r="E37" s="60"/>
      <c r="V37" s="22"/>
      <c r="W37" s="23"/>
    </row>
    <row r="38" spans="2:23" x14ac:dyDescent="0.25">
      <c r="B38" s="8" t="s">
        <v>41</v>
      </c>
      <c r="C38" s="91"/>
      <c r="D38" s="9">
        <f>+C38/C$37</f>
        <v>0</v>
      </c>
      <c r="E38" s="52"/>
      <c r="V38" s="22"/>
    </row>
    <row r="39" spans="2:23" x14ac:dyDescent="0.25">
      <c r="B39" s="10" t="s">
        <v>42</v>
      </c>
      <c r="C39" s="257">
        <f>'4. Inflation'!D16</f>
        <v>2730189.1196924541</v>
      </c>
      <c r="D39" s="9">
        <f t="shared" ref="D39:D51" si="4">+C39/C$37</f>
        <v>2.2873153479517183E-2</v>
      </c>
      <c r="E39" s="258" t="s">
        <v>241</v>
      </c>
      <c r="V39" s="22"/>
    </row>
    <row r="40" spans="2:23" x14ac:dyDescent="0.25">
      <c r="B40" s="10" t="s">
        <v>43</v>
      </c>
      <c r="C40" s="91">
        <f>-2644945-'4. Inflation'!D8-'4. Inflation'!D9</f>
        <v>-3709749</v>
      </c>
      <c r="D40" s="9">
        <f t="shared" si="4"/>
        <v>-3.1079773058741017E-2</v>
      </c>
      <c r="E40" s="52"/>
      <c r="V40" s="22"/>
    </row>
    <row r="41" spans="2:23" x14ac:dyDescent="0.25">
      <c r="B41" s="10" t="s">
        <v>44</v>
      </c>
      <c r="C41" s="91">
        <f>-1046030-'4. Inflation'!O14-'4. Inflation'!O15-'4. Inflation'!O16</f>
        <v>-1046030</v>
      </c>
      <c r="D41" s="9">
        <f t="shared" si="4"/>
        <v>-8.763497210359749E-3</v>
      </c>
      <c r="E41" s="52"/>
      <c r="V41" s="22"/>
    </row>
    <row r="42" spans="2:23" x14ac:dyDescent="0.25">
      <c r="B42" s="10" t="s">
        <v>45</v>
      </c>
      <c r="C42" s="91">
        <f>838914-'4. Inflation'!D14</f>
        <v>-86481.714285714435</v>
      </c>
      <c r="D42" s="9">
        <f t="shared" si="4"/>
        <v>-7.2453205155682658E-4</v>
      </c>
      <c r="E42" s="52"/>
      <c r="V42" s="22"/>
    </row>
    <row r="43" spans="2:23" x14ac:dyDescent="0.25">
      <c r="B43" s="10" t="s">
        <v>46</v>
      </c>
      <c r="C43" s="91">
        <v>19200</v>
      </c>
      <c r="D43" s="9">
        <f t="shared" si="4"/>
        <v>1.6085499119423646E-4</v>
      </c>
      <c r="E43" s="52"/>
      <c r="V43" s="22"/>
    </row>
    <row r="44" spans="2:23" x14ac:dyDescent="0.25">
      <c r="B44" s="10" t="s">
        <v>47</v>
      </c>
      <c r="C44" s="91">
        <f>1833378-1651130-'4. Inflation'!D10</f>
        <v>81894.547169811151</v>
      </c>
      <c r="D44" s="9">
        <f t="shared" si="4"/>
        <v>6.8610138874249766E-4</v>
      </c>
      <c r="E44" s="52"/>
    </row>
    <row r="45" spans="2:23" x14ac:dyDescent="0.25">
      <c r="B45" s="10" t="s">
        <v>48</v>
      </c>
      <c r="C45" s="91">
        <v>1921031</v>
      </c>
      <c r="D45" s="9">
        <f t="shared" si="4"/>
        <v>1.6094136697336212E-2</v>
      </c>
      <c r="E45" s="52"/>
    </row>
    <row r="46" spans="2:23" x14ac:dyDescent="0.25">
      <c r="B46" s="10" t="s">
        <v>49</v>
      </c>
      <c r="C46" s="91">
        <v>-108441</v>
      </c>
      <c r="D46" s="9">
        <f>+C46/C$37</f>
        <v>-9.0850396354657278E-4</v>
      </c>
      <c r="E46" s="78"/>
    </row>
    <row r="47" spans="2:23" x14ac:dyDescent="0.25">
      <c r="B47" s="89" t="s">
        <v>28</v>
      </c>
      <c r="C47" s="91"/>
      <c r="D47" s="9">
        <f t="shared" ref="D47:D48" si="5">+C47/C$37</f>
        <v>0</v>
      </c>
      <c r="E47" s="52"/>
    </row>
    <row r="48" spans="2:23" x14ac:dyDescent="0.25">
      <c r="B48" s="89" t="s">
        <v>28</v>
      </c>
      <c r="C48" s="91"/>
      <c r="D48" s="9">
        <f t="shared" si="5"/>
        <v>0</v>
      </c>
      <c r="E48" s="52"/>
    </row>
    <row r="49" spans="2:23" x14ac:dyDescent="0.25">
      <c r="B49" s="89" t="s">
        <v>28</v>
      </c>
      <c r="C49" s="91"/>
      <c r="D49" s="9">
        <f t="shared" si="4"/>
        <v>0</v>
      </c>
      <c r="E49" s="52"/>
    </row>
    <row r="50" spans="2:23" x14ac:dyDescent="0.25">
      <c r="B50" s="89" t="s">
        <v>28</v>
      </c>
      <c r="C50" s="91"/>
      <c r="D50" s="9">
        <f t="shared" ref="D50" si="6">+C50/C$37</f>
        <v>0</v>
      </c>
      <c r="E50" s="52"/>
    </row>
    <row r="51" spans="2:23" x14ac:dyDescent="0.25">
      <c r="B51" s="89" t="s">
        <v>50</v>
      </c>
      <c r="C51" s="91"/>
      <c r="D51" s="9">
        <f t="shared" si="4"/>
        <v>0</v>
      </c>
      <c r="E51" s="52"/>
    </row>
    <row r="52" spans="2:23" x14ac:dyDescent="0.25">
      <c r="B52" s="11" t="s">
        <v>51</v>
      </c>
      <c r="C52" s="12">
        <f>SUM(C37:C51)</f>
        <v>119163777.95257655</v>
      </c>
      <c r="D52" s="13">
        <f>SUM(D38:D51)</f>
        <v>-1.6620597274140381E-3</v>
      </c>
      <c r="E52" s="298"/>
      <c r="F52" s="14"/>
    </row>
    <row r="53" spans="2:23" x14ac:dyDescent="0.25">
      <c r="B53" s="86"/>
      <c r="C53" s="87"/>
      <c r="D53" s="78"/>
      <c r="E53" s="298"/>
    </row>
    <row r="54" spans="2:23" x14ac:dyDescent="0.25">
      <c r="B54" s="29" t="s">
        <v>30</v>
      </c>
      <c r="C54" s="65">
        <f>+C52-C37</f>
        <v>-198387.04742345214</v>
      </c>
      <c r="D54" s="78"/>
      <c r="E54" s="78"/>
    </row>
    <row r="55" spans="2:23" x14ac:dyDescent="0.25">
      <c r="B55" s="54" t="s">
        <v>31</v>
      </c>
      <c r="C55" s="314">
        <f>(C54)/C37</f>
        <v>-1.6620597274140606E-3</v>
      </c>
      <c r="D55" s="78"/>
      <c r="E55" s="78"/>
    </row>
    <row r="56" spans="2:23" x14ac:dyDescent="0.25">
      <c r="B56" s="205"/>
      <c r="C56" s="60"/>
      <c r="D56" s="60"/>
      <c r="E56" s="60"/>
      <c r="F56" s="60"/>
      <c r="G56" s="60"/>
      <c r="H56" s="60"/>
      <c r="O56" s="22"/>
      <c r="P56" s="23"/>
    </row>
    <row r="57" spans="2:23" x14ac:dyDescent="0.25">
      <c r="B57" s="29" t="s">
        <v>32</v>
      </c>
      <c r="C57" s="65">
        <f>'5. Vaccine Clinics and Testing'!D36</f>
        <v>720810.84</v>
      </c>
      <c r="D57" s="60"/>
      <c r="E57" s="60"/>
      <c r="F57" s="60"/>
      <c r="G57" s="60"/>
      <c r="H57" s="60"/>
      <c r="O57" s="22"/>
      <c r="P57" s="23"/>
    </row>
    <row r="58" spans="2:23" ht="30" x14ac:dyDescent="0.25">
      <c r="B58" s="206" t="s">
        <v>33</v>
      </c>
      <c r="C58" s="207">
        <f>C52-C57</f>
        <v>118442967.11257654</v>
      </c>
      <c r="D58" s="15"/>
      <c r="E58" s="15"/>
      <c r="K58" s="23"/>
      <c r="L58" s="23"/>
      <c r="M58" s="14"/>
      <c r="N58" s="24"/>
      <c r="V58" s="22"/>
      <c r="W58" s="23"/>
    </row>
    <row r="59" spans="2:23" x14ac:dyDescent="0.25">
      <c r="B59" s="205"/>
      <c r="C59" s="60"/>
      <c r="D59" s="15"/>
      <c r="E59" s="15"/>
      <c r="K59" s="23"/>
      <c r="L59" s="23"/>
      <c r="M59" s="14"/>
      <c r="N59" s="24"/>
      <c r="V59" s="22"/>
      <c r="W59" s="23"/>
    </row>
    <row r="60" spans="2:23" x14ac:dyDescent="0.25">
      <c r="B60" s="29" t="s">
        <v>34</v>
      </c>
      <c r="C60" s="65">
        <f>C58-C37</f>
        <v>-919197.88742345572</v>
      </c>
      <c r="D60" s="15"/>
      <c r="E60" s="15"/>
      <c r="O60" s="22"/>
      <c r="P60" s="23"/>
    </row>
    <row r="61" spans="2:23" x14ac:dyDescent="0.25">
      <c r="B61" s="54" t="s">
        <v>35</v>
      </c>
      <c r="C61" s="294">
        <f>(C60)/C37</f>
        <v>-7.7009150045448298E-3</v>
      </c>
      <c r="D61" s="15"/>
      <c r="E61" s="15"/>
      <c r="O61" s="22"/>
      <c r="P61" s="23"/>
    </row>
    <row r="62" spans="2:23" x14ac:dyDescent="0.25">
      <c r="B62" s="205"/>
      <c r="C62" s="60"/>
      <c r="D62" s="60"/>
      <c r="E62" s="60"/>
      <c r="F62" s="60"/>
      <c r="G62" s="60"/>
      <c r="H62" s="60"/>
      <c r="O62" s="22"/>
      <c r="P62" s="23"/>
    </row>
    <row r="64" spans="2:23" ht="18.75" x14ac:dyDescent="0.3">
      <c r="B64" s="325" t="s">
        <v>52</v>
      </c>
      <c r="C64" s="326"/>
      <c r="D64" s="326"/>
      <c r="E64" s="326"/>
      <c r="F64" s="326"/>
      <c r="G64" s="326"/>
      <c r="H64" s="326"/>
      <c r="I64" s="326"/>
      <c r="J64" s="326"/>
      <c r="K64" s="326"/>
      <c r="L64" s="326"/>
      <c r="M64" s="326"/>
      <c r="N64" s="326"/>
      <c r="O64" s="327"/>
      <c r="V64" s="22"/>
      <c r="W64" s="23"/>
    </row>
    <row r="65" spans="1:13" x14ac:dyDescent="0.25">
      <c r="B65" s="17"/>
    </row>
    <row r="66" spans="1:13" ht="18.75" x14ac:dyDescent="0.3">
      <c r="B66" s="92" t="s">
        <v>53</v>
      </c>
      <c r="C66" s="4"/>
    </row>
    <row r="67" spans="1:13" ht="18.75" x14ac:dyDescent="0.3">
      <c r="B67" s="92"/>
      <c r="C67" s="4"/>
    </row>
    <row r="68" spans="1:13" ht="18.75" x14ac:dyDescent="0.3">
      <c r="B68" s="92" t="s">
        <v>54</v>
      </c>
      <c r="C68" s="295" t="s">
        <v>256</v>
      </c>
    </row>
    <row r="69" spans="1:13" s="88" customFormat="1" ht="30" x14ac:dyDescent="0.25">
      <c r="B69" s="93" t="s">
        <v>17</v>
      </c>
      <c r="C69" s="93" t="s">
        <v>18</v>
      </c>
      <c r="D69" s="93" t="s">
        <v>19</v>
      </c>
      <c r="E69" s="93" t="s">
        <v>20</v>
      </c>
      <c r="F69" s="93" t="s">
        <v>21</v>
      </c>
      <c r="G69" s="93" t="s">
        <v>219</v>
      </c>
      <c r="H69" s="93" t="s">
        <v>240</v>
      </c>
    </row>
    <row r="70" spans="1:13" x14ac:dyDescent="0.25">
      <c r="B70" s="5" t="s">
        <v>55</v>
      </c>
      <c r="C70" s="90">
        <f>SUM(D70:H70)</f>
        <v>115495674</v>
      </c>
      <c r="D70" s="289">
        <v>31588555</v>
      </c>
      <c r="E70" s="90">
        <v>14347510</v>
      </c>
      <c r="F70" s="90">
        <f>68534883-6422376</f>
        <v>62112507</v>
      </c>
      <c r="G70" s="90">
        <v>6422376</v>
      </c>
      <c r="H70" s="90">
        <v>1024726</v>
      </c>
    </row>
    <row r="71" spans="1:13" ht="14.45" customHeight="1" x14ac:dyDescent="0.25">
      <c r="A71" s="320"/>
      <c r="B71" s="8" t="s">
        <v>56</v>
      </c>
      <c r="C71" s="90">
        <f>SUM(D71:H71)</f>
        <v>2013804</v>
      </c>
      <c r="D71" s="290">
        <v>96812</v>
      </c>
      <c r="E71" s="291">
        <v>6598</v>
      </c>
      <c r="F71" s="292">
        <v>1910394</v>
      </c>
      <c r="G71" s="292"/>
      <c r="H71" s="292"/>
    </row>
    <row r="72" spans="1:13" x14ac:dyDescent="0.25">
      <c r="A72" s="320"/>
      <c r="B72" s="8" t="s">
        <v>57</v>
      </c>
      <c r="C72" s="90">
        <f>SUM(D72:H72)</f>
        <v>22838</v>
      </c>
      <c r="D72" s="290"/>
      <c r="E72" s="291"/>
      <c r="F72" s="292"/>
      <c r="G72" s="292"/>
      <c r="H72" s="292">
        <v>22838</v>
      </c>
    </row>
    <row r="73" spans="1:13" x14ac:dyDescent="0.25">
      <c r="A73" s="320"/>
      <c r="B73" s="8" t="s">
        <v>58</v>
      </c>
      <c r="C73" s="90">
        <f>SUM(D73:H73)</f>
        <v>-2037773</v>
      </c>
      <c r="D73" s="290">
        <v>-54959</v>
      </c>
      <c r="E73" s="291">
        <v>-109951</v>
      </c>
      <c r="F73" s="292">
        <v>-1872863</v>
      </c>
      <c r="G73" s="292"/>
      <c r="H73" s="292"/>
    </row>
    <row r="74" spans="1:13" x14ac:dyDescent="0.25">
      <c r="A74" s="320"/>
      <c r="B74" s="8" t="s">
        <v>59</v>
      </c>
      <c r="C74" s="90">
        <f t="shared" ref="C74:C81" si="7">SUM(D74:H74)</f>
        <v>872390</v>
      </c>
      <c r="D74" s="290">
        <v>-465704</v>
      </c>
      <c r="E74" s="291">
        <v>1364695</v>
      </c>
      <c r="F74" s="292">
        <v>-26601</v>
      </c>
      <c r="G74" s="292"/>
      <c r="H74" s="292"/>
    </row>
    <row r="75" spans="1:13" x14ac:dyDescent="0.25">
      <c r="B75" s="10" t="s">
        <v>25</v>
      </c>
      <c r="C75" s="90">
        <f t="shared" si="7"/>
        <v>0</v>
      </c>
      <c r="D75" s="290"/>
      <c r="E75" s="291"/>
      <c r="F75" s="293"/>
      <c r="G75" s="293"/>
      <c r="H75" s="293"/>
    </row>
    <row r="76" spans="1:13" x14ac:dyDescent="0.25">
      <c r="B76" s="10" t="s">
        <v>26</v>
      </c>
      <c r="C76" s="90">
        <f t="shared" si="7"/>
        <v>0</v>
      </c>
      <c r="D76" s="290"/>
      <c r="E76" s="291"/>
      <c r="F76" s="292"/>
      <c r="G76" s="292"/>
      <c r="H76" s="292"/>
      <c r="L76" s="22"/>
      <c r="M76" s="23"/>
    </row>
    <row r="77" spans="1:13" x14ac:dyDescent="0.25">
      <c r="B77" s="10" t="s">
        <v>27</v>
      </c>
      <c r="C77" s="90">
        <f t="shared" si="7"/>
        <v>429565</v>
      </c>
      <c r="D77" s="290">
        <v>429565</v>
      </c>
      <c r="E77" s="291"/>
      <c r="F77" s="292">
        <v>0</v>
      </c>
      <c r="G77" s="292"/>
      <c r="H77" s="292"/>
      <c r="L77" s="22"/>
      <c r="M77" s="23"/>
    </row>
    <row r="78" spans="1:13" x14ac:dyDescent="0.25">
      <c r="B78" s="10" t="s">
        <v>60</v>
      </c>
      <c r="C78" s="90">
        <f>-9314405+8648997</f>
        <v>-665408</v>
      </c>
      <c r="D78" s="290"/>
      <c r="E78" s="291"/>
      <c r="F78" s="292">
        <v>-665408</v>
      </c>
      <c r="G78" s="292"/>
      <c r="H78" s="292"/>
      <c r="L78" s="22"/>
      <c r="M78" s="22"/>
    </row>
    <row r="79" spans="1:13" x14ac:dyDescent="0.25">
      <c r="B79" s="89" t="s">
        <v>28</v>
      </c>
      <c r="C79" s="90">
        <f t="shared" si="7"/>
        <v>-205557</v>
      </c>
      <c r="D79" s="290">
        <v>2292964</v>
      </c>
      <c r="E79" s="291">
        <v>-345019</v>
      </c>
      <c r="F79" s="293">
        <v>-2153502</v>
      </c>
      <c r="G79" s="293"/>
      <c r="H79" s="293"/>
      <c r="L79" s="22"/>
      <c r="M79" s="22"/>
    </row>
    <row r="80" spans="1:13" x14ac:dyDescent="0.25">
      <c r="B80" s="89" t="s">
        <v>28</v>
      </c>
      <c r="C80" s="90">
        <f t="shared" si="7"/>
        <v>0</v>
      </c>
      <c r="D80" s="290"/>
      <c r="E80" s="291"/>
      <c r="F80" s="293"/>
      <c r="G80" s="293"/>
      <c r="H80" s="293"/>
      <c r="L80" s="22"/>
      <c r="M80" s="23"/>
    </row>
    <row r="81" spans="2:23" x14ac:dyDescent="0.25">
      <c r="B81" s="89" t="s">
        <v>28</v>
      </c>
      <c r="C81" s="90">
        <f t="shared" si="7"/>
        <v>0</v>
      </c>
      <c r="D81" s="290"/>
      <c r="E81" s="291"/>
      <c r="F81" s="293"/>
      <c r="G81" s="293"/>
      <c r="H81" s="293"/>
      <c r="K81" s="22"/>
      <c r="L81" s="22"/>
      <c r="M81" s="23"/>
    </row>
    <row r="82" spans="2:23" x14ac:dyDescent="0.25">
      <c r="B82" s="11" t="s">
        <v>29</v>
      </c>
      <c r="C82" s="6">
        <f t="shared" ref="C82:H82" si="8">SUM(C70:C81)</f>
        <v>115925533</v>
      </c>
      <c r="D82" s="53">
        <f t="shared" si="8"/>
        <v>33887233</v>
      </c>
      <c r="E82" s="53">
        <f t="shared" si="8"/>
        <v>15263833</v>
      </c>
      <c r="F82" s="53">
        <f t="shared" si="8"/>
        <v>59304527</v>
      </c>
      <c r="G82" s="53">
        <f t="shared" si="8"/>
        <v>6422376</v>
      </c>
      <c r="H82" s="53">
        <f t="shared" si="8"/>
        <v>1047564</v>
      </c>
      <c r="L82" s="22"/>
      <c r="M82" s="23"/>
    </row>
    <row r="83" spans="2:23" x14ac:dyDescent="0.25">
      <c r="C83" s="15"/>
      <c r="D83" s="15"/>
      <c r="I83" s="14"/>
      <c r="J83" s="14"/>
      <c r="L83" s="22"/>
      <c r="M83" s="23"/>
    </row>
    <row r="84" spans="2:23" x14ac:dyDescent="0.25">
      <c r="B84" s="29" t="s">
        <v>61</v>
      </c>
      <c r="C84" s="65">
        <f>+C82-C70</f>
        <v>429859</v>
      </c>
      <c r="D84" s="65">
        <f t="shared" ref="D84:E84" si="9">+D82-D70</f>
        <v>2298678</v>
      </c>
      <c r="E84" s="65">
        <f t="shared" si="9"/>
        <v>916323</v>
      </c>
      <c r="F84" s="19">
        <f>+F82-F70</f>
        <v>-2807980</v>
      </c>
      <c r="G84" s="19">
        <f>+G82-G70</f>
        <v>0</v>
      </c>
      <c r="H84" s="19">
        <f>+H82-H70</f>
        <v>22838</v>
      </c>
      <c r="L84" s="22"/>
      <c r="M84" s="23"/>
    </row>
    <row r="85" spans="2:23" x14ac:dyDescent="0.25">
      <c r="B85" s="54" t="s">
        <v>62</v>
      </c>
      <c r="C85" s="55">
        <f>(C84)/C70</f>
        <v>3.721862344385297E-3</v>
      </c>
      <c r="D85" s="55">
        <f t="shared" ref="D85:H85" si="10">(D84)/D70</f>
        <v>7.2769330537595031E-2</v>
      </c>
      <c r="E85" s="55">
        <f t="shared" si="10"/>
        <v>6.3866343358533986E-2</v>
      </c>
      <c r="F85" s="55">
        <f t="shared" si="10"/>
        <v>-4.5207964315463874E-2</v>
      </c>
      <c r="G85" s="55">
        <f t="shared" si="10"/>
        <v>0</v>
      </c>
      <c r="H85" s="55">
        <f t="shared" si="10"/>
        <v>2.2286933287532472E-2</v>
      </c>
      <c r="L85" s="22"/>
      <c r="M85" s="23"/>
    </row>
    <row r="86" spans="2:23" x14ac:dyDescent="0.25">
      <c r="B86" s="205"/>
      <c r="C86" s="60"/>
      <c r="D86" s="15"/>
      <c r="E86" s="15"/>
      <c r="K86" s="23"/>
      <c r="L86" s="23"/>
      <c r="M86" s="14"/>
      <c r="N86" s="24"/>
      <c r="V86" s="22"/>
      <c r="W86" s="23"/>
    </row>
    <row r="87" spans="2:23" x14ac:dyDescent="0.25">
      <c r="B87" s="29" t="s">
        <v>63</v>
      </c>
      <c r="C87" s="65">
        <f>(C82-'5. Vaccine Clinics and Testing'!D23)-('1. Reconciliation'!C70-'5. Vaccine Clinics and Testing'!C23)</f>
        <v>2467630</v>
      </c>
      <c r="D87" s="15"/>
      <c r="E87" s="15"/>
      <c r="O87" s="22"/>
      <c r="P87" s="23"/>
    </row>
    <row r="88" spans="2:23" x14ac:dyDescent="0.25">
      <c r="B88" s="54" t="s">
        <v>64</v>
      </c>
      <c r="C88" s="294">
        <v>1.9892503120789738E-2</v>
      </c>
      <c r="D88" s="15"/>
      <c r="E88" s="15"/>
      <c r="O88" s="22"/>
      <c r="P88" s="23"/>
    </row>
    <row r="89" spans="2:23" x14ac:dyDescent="0.25">
      <c r="B89" s="205"/>
      <c r="C89" s="60"/>
      <c r="D89" s="60"/>
      <c r="E89" s="60"/>
      <c r="F89" s="60"/>
      <c r="G89" s="60"/>
      <c r="H89" s="60"/>
      <c r="O89" s="22"/>
      <c r="P89" s="23"/>
    </row>
    <row r="90" spans="2:23" ht="19.899999999999999" customHeight="1" x14ac:dyDescent="0.3">
      <c r="B90" s="92" t="s">
        <v>65</v>
      </c>
      <c r="C90" s="4"/>
      <c r="D90" s="15"/>
      <c r="E90" s="15"/>
      <c r="V90" s="22"/>
      <c r="W90" s="23"/>
    </row>
    <row r="91" spans="2:23" ht="18.75" x14ac:dyDescent="0.3">
      <c r="B91" s="92"/>
      <c r="C91" s="4"/>
      <c r="D91" s="15"/>
      <c r="E91" s="15"/>
      <c r="V91" s="22"/>
      <c r="W91" s="23"/>
    </row>
    <row r="92" spans="2:23" x14ac:dyDescent="0.25">
      <c r="B92" s="94" t="s">
        <v>37</v>
      </c>
      <c r="C92" s="94" t="s">
        <v>38</v>
      </c>
      <c r="D92" s="94" t="s">
        <v>39</v>
      </c>
      <c r="E92" s="61"/>
      <c r="V92" s="22"/>
      <c r="W92" s="23"/>
    </row>
    <row r="93" spans="2:23" x14ac:dyDescent="0.25">
      <c r="B93" s="5" t="s">
        <v>55</v>
      </c>
      <c r="C93" s="90">
        <v>122648414</v>
      </c>
      <c r="D93" s="7"/>
      <c r="E93" s="60"/>
      <c r="V93" s="22"/>
      <c r="W93" s="23"/>
    </row>
    <row r="94" spans="2:23" x14ac:dyDescent="0.25">
      <c r="B94" s="8" t="s">
        <v>41</v>
      </c>
      <c r="C94" s="91"/>
      <c r="D94" s="9">
        <f>+C94/C$37</f>
        <v>0</v>
      </c>
      <c r="E94" s="62"/>
      <c r="V94" s="22"/>
    </row>
    <row r="95" spans="2:23" x14ac:dyDescent="0.25">
      <c r="B95" s="10" t="s">
        <v>42</v>
      </c>
      <c r="C95" s="91">
        <f>C39-'4. Inflation'!D14</f>
        <v>1804793.4054067396</v>
      </c>
      <c r="D95" s="9">
        <f t="shared" ref="D95:D107" si="11">+C95/C$37</f>
        <v>1.5120313923651934E-2</v>
      </c>
      <c r="E95" s="62"/>
      <c r="V95" s="22"/>
    </row>
    <row r="96" spans="2:23" x14ac:dyDescent="0.25">
      <c r="B96" s="10" t="s">
        <v>43</v>
      </c>
      <c r="C96" s="91">
        <f>-4241786-'4. Inflation'!D8-'4. Inflation'!D9</f>
        <v>-5306590</v>
      </c>
      <c r="D96" s="9">
        <f t="shared" si="11"/>
        <v>-4.4457889985490794E-2</v>
      </c>
      <c r="E96" s="62"/>
      <c r="V96" s="22"/>
    </row>
    <row r="97" spans="2:22" x14ac:dyDescent="0.25">
      <c r="B97" s="10" t="s">
        <v>44</v>
      </c>
      <c r="C97" s="91">
        <v>34376</v>
      </c>
      <c r="D97" s="9">
        <f t="shared" si="11"/>
        <v>2.8799745715068088E-4</v>
      </c>
      <c r="E97" s="62"/>
      <c r="V97" s="22"/>
    </row>
    <row r="98" spans="2:22" x14ac:dyDescent="0.25">
      <c r="B98" s="10" t="s">
        <v>45</v>
      </c>
      <c r="C98" s="91">
        <v>-1622036.5</v>
      </c>
      <c r="D98" s="9">
        <f t="shared" si="11"/>
        <v>-1.3589201402303653E-2</v>
      </c>
      <c r="E98" s="62"/>
      <c r="V98" s="22"/>
    </row>
    <row r="99" spans="2:22" x14ac:dyDescent="0.25">
      <c r="B99" s="10" t="s">
        <v>46</v>
      </c>
      <c r="C99" s="91">
        <v>569373</v>
      </c>
      <c r="D99" s="9">
        <f t="shared" si="11"/>
        <v>4.7701296302727078E-3</v>
      </c>
      <c r="E99" s="62"/>
      <c r="V99" s="22"/>
    </row>
    <row r="100" spans="2:22" x14ac:dyDescent="0.25">
      <c r="B100" s="10" t="s">
        <v>47</v>
      </c>
      <c r="C100" s="91">
        <f>1772910-1619277-'4. Inflation'!D10</f>
        <v>53279.547169811151</v>
      </c>
      <c r="D100" s="9">
        <f t="shared" si="11"/>
        <v>4.4636880681421244E-4</v>
      </c>
      <c r="E100" s="62"/>
    </row>
    <row r="101" spans="2:22" x14ac:dyDescent="0.25">
      <c r="B101" s="10" t="s">
        <v>48</v>
      </c>
      <c r="C101" s="91">
        <f>6696736-5733180</f>
        <v>963556</v>
      </c>
      <c r="D101" s="9">
        <f t="shared" si="11"/>
        <v>8.072541244539256E-3</v>
      </c>
      <c r="E101" s="62"/>
    </row>
    <row r="102" spans="2:22" x14ac:dyDescent="0.25">
      <c r="B102" s="10" t="s">
        <v>49</v>
      </c>
      <c r="C102" s="91"/>
      <c r="D102" s="9">
        <f t="shared" si="11"/>
        <v>0</v>
      </c>
      <c r="E102" s="62"/>
    </row>
    <row r="103" spans="2:22" x14ac:dyDescent="0.25">
      <c r="B103" s="89" t="s">
        <v>257</v>
      </c>
      <c r="C103" s="91">
        <v>18613</v>
      </c>
      <c r="D103" s="9">
        <f t="shared" ref="D103:D104" si="12">+C103/C$37</f>
        <v>1.5593718495303768E-4</v>
      </c>
      <c r="E103" s="62"/>
    </row>
    <row r="104" spans="2:22" x14ac:dyDescent="0.25">
      <c r="B104" s="89" t="s">
        <v>28</v>
      </c>
      <c r="C104" s="91"/>
      <c r="D104" s="9">
        <f t="shared" si="12"/>
        <v>0</v>
      </c>
      <c r="E104" s="62"/>
    </row>
    <row r="105" spans="2:22" x14ac:dyDescent="0.25">
      <c r="B105" s="89" t="s">
        <v>28</v>
      </c>
      <c r="C105" s="91"/>
      <c r="D105" s="9">
        <f t="shared" si="11"/>
        <v>0</v>
      </c>
      <c r="E105" s="62"/>
    </row>
    <row r="106" spans="2:22" x14ac:dyDescent="0.25">
      <c r="B106" s="89" t="s">
        <v>28</v>
      </c>
      <c r="C106" s="91"/>
      <c r="D106" s="9">
        <f t="shared" ref="D106" si="13">+C106/C$37</f>
        <v>0</v>
      </c>
      <c r="E106" s="62"/>
    </row>
    <row r="107" spans="2:22" x14ac:dyDescent="0.25">
      <c r="B107" s="89" t="s">
        <v>50</v>
      </c>
      <c r="C107" s="91"/>
      <c r="D107" s="9">
        <f t="shared" si="11"/>
        <v>0</v>
      </c>
      <c r="E107" s="62"/>
    </row>
    <row r="108" spans="2:22" x14ac:dyDescent="0.25">
      <c r="B108" s="11" t="s">
        <v>29</v>
      </c>
      <c r="C108" s="12">
        <f>SUM(C93:C107)</f>
        <v>119163778.45257655</v>
      </c>
      <c r="D108" s="13">
        <f>SUM(D94:D107)</f>
        <v>-2.9193803140412616E-2</v>
      </c>
      <c r="E108" s="300"/>
      <c r="F108" s="14"/>
    </row>
    <row r="109" spans="2:22" x14ac:dyDescent="0.25">
      <c r="E109" s="57"/>
    </row>
    <row r="110" spans="2:22" x14ac:dyDescent="0.25">
      <c r="B110" s="29" t="s">
        <v>61</v>
      </c>
      <c r="C110" s="65">
        <f>+C108-C93</f>
        <v>-3484635.5474234521</v>
      </c>
      <c r="E110" s="57"/>
    </row>
    <row r="111" spans="2:22" x14ac:dyDescent="0.25">
      <c r="B111" s="54" t="s">
        <v>62</v>
      </c>
      <c r="C111" s="55">
        <f>(C110)/C93</f>
        <v>-2.8411582618780965E-2</v>
      </c>
      <c r="E111" s="57"/>
    </row>
    <row r="112" spans="2:22" x14ac:dyDescent="0.25">
      <c r="B112" s="205"/>
      <c r="C112" s="60"/>
      <c r="D112" s="60"/>
      <c r="E112" s="60"/>
      <c r="F112" s="60"/>
      <c r="G112" s="60"/>
      <c r="H112" s="60"/>
      <c r="O112" s="22"/>
      <c r="P112" s="23"/>
    </row>
    <row r="113" spans="2:23" x14ac:dyDescent="0.25">
      <c r="B113" s="29" t="s">
        <v>63</v>
      </c>
      <c r="C113" s="65">
        <f>(C108-'5. Vaccine Clinics and Testing'!D42)-('1. Reconciliation'!C93-'1. Reconciliation'!C41)</f>
        <v>-5491397.7074234486</v>
      </c>
      <c r="D113" s="60"/>
      <c r="E113" s="60"/>
      <c r="F113" s="60"/>
      <c r="G113" s="60"/>
      <c r="H113" s="60"/>
      <c r="O113" s="22"/>
      <c r="P113" s="23"/>
    </row>
    <row r="114" spans="2:23" x14ac:dyDescent="0.25">
      <c r="B114" s="54" t="s">
        <v>64</v>
      </c>
      <c r="C114" s="55">
        <f>(C113)/(C93-'5. Vaccine Clinics and Testing'!C36)</f>
        <v>-4.5922777192888571E-2</v>
      </c>
      <c r="D114" s="15"/>
      <c r="E114" s="15"/>
      <c r="K114" s="23"/>
      <c r="L114" s="23"/>
      <c r="M114" s="14"/>
      <c r="N114" s="24"/>
      <c r="V114" s="22"/>
      <c r="W114" s="23"/>
    </row>
  </sheetData>
  <mergeCells count="7">
    <mergeCell ref="A71:A74"/>
    <mergeCell ref="B2:O2"/>
    <mergeCell ref="B3:O3"/>
    <mergeCell ref="B6:O6"/>
    <mergeCell ref="B4:O4"/>
    <mergeCell ref="B64:O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theme="7"/>
    <pageSetUpPr fitToPage="1"/>
  </sheetPr>
  <dimension ref="B2:P67"/>
  <sheetViews>
    <sheetView showGridLines="0" topLeftCell="A4" zoomScale="90" zoomScaleNormal="90" workbookViewId="0">
      <selection activeCell="N36" sqref="N36"/>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3" customWidth="1"/>
    <col min="9" max="11" width="17.7109375" style="1" customWidth="1"/>
    <col min="12" max="12" width="15" style="1" bestFit="1" customWidth="1"/>
    <col min="13" max="13" width="15.7109375" style="1" bestFit="1" customWidth="1"/>
    <col min="14" max="14" width="14" style="1" bestFit="1" customWidth="1"/>
    <col min="15" max="15" width="13.28515625" style="1" bestFit="1" customWidth="1"/>
    <col min="16" max="16" width="9.5703125" style="1" bestFit="1" customWidth="1"/>
    <col min="17" max="16384" width="8.85546875" style="1"/>
  </cols>
  <sheetData>
    <row r="2" spans="2:9" x14ac:dyDescent="0.25">
      <c r="B2" s="321" t="s">
        <v>66</v>
      </c>
      <c r="C2" s="321"/>
      <c r="D2" s="321"/>
      <c r="E2" s="321"/>
      <c r="F2" s="321"/>
      <c r="G2" s="321"/>
      <c r="H2" s="321"/>
      <c r="I2" s="321"/>
    </row>
    <row r="3" spans="2:9" ht="18.75" x14ac:dyDescent="0.3">
      <c r="B3" s="333" t="s">
        <v>13</v>
      </c>
      <c r="C3" s="334"/>
      <c r="D3" s="334"/>
      <c r="E3" s="334"/>
      <c r="F3" s="334"/>
      <c r="G3" s="334"/>
      <c r="H3" s="334"/>
      <c r="I3" s="335"/>
    </row>
    <row r="4" spans="2:9" ht="18.75" x14ac:dyDescent="0.3">
      <c r="B4" s="336" t="s">
        <v>67</v>
      </c>
      <c r="C4" s="337"/>
      <c r="D4" s="337"/>
      <c r="E4" s="337"/>
      <c r="F4" s="337"/>
      <c r="G4" s="337"/>
      <c r="H4" s="337"/>
      <c r="I4" s="338"/>
    </row>
    <row r="5" spans="2:9" ht="34.9" customHeight="1" x14ac:dyDescent="0.25">
      <c r="B5" s="332" t="s">
        <v>68</v>
      </c>
      <c r="C5" s="332"/>
      <c r="D5" s="332"/>
      <c r="E5" s="332"/>
      <c r="F5" s="332"/>
      <c r="G5" s="332"/>
      <c r="H5" s="210"/>
    </row>
    <row r="6" spans="2:9" x14ac:dyDescent="0.25">
      <c r="B6" s="211"/>
      <c r="C6" s="211"/>
      <c r="D6" s="211"/>
      <c r="E6" s="211"/>
      <c r="F6" s="211"/>
      <c r="G6" s="211"/>
      <c r="H6" s="210"/>
    </row>
    <row r="7" spans="2:9" ht="29.45" customHeight="1" x14ac:dyDescent="0.25">
      <c r="B7" s="341" t="s">
        <v>69</v>
      </c>
      <c r="C7" s="342"/>
      <c r="D7" s="343"/>
      <c r="H7" s="1"/>
    </row>
    <row r="8" spans="2:9" ht="15" customHeight="1" x14ac:dyDescent="0.25">
      <c r="B8" s="344" t="s">
        <v>70</v>
      </c>
      <c r="C8" s="345"/>
      <c r="D8" s="346"/>
      <c r="H8" s="1"/>
    </row>
    <row r="9" spans="2:9" ht="42.75" customHeight="1" x14ac:dyDescent="0.25">
      <c r="B9" s="3" t="s">
        <v>71</v>
      </c>
      <c r="C9" s="48" t="s">
        <v>72</v>
      </c>
      <c r="D9" s="48" t="s">
        <v>73</v>
      </c>
      <c r="H9" s="1"/>
    </row>
    <row r="10" spans="2:9" x14ac:dyDescent="0.25">
      <c r="B10" s="3"/>
      <c r="C10" s="3"/>
      <c r="D10" s="48"/>
      <c r="H10" s="1"/>
    </row>
    <row r="11" spans="2:9" x14ac:dyDescent="0.25">
      <c r="B11" s="3" t="s">
        <v>74</v>
      </c>
      <c r="C11" s="230">
        <v>1497117</v>
      </c>
      <c r="D11" s="262">
        <v>3.5900000000000001E-2</v>
      </c>
      <c r="H11" s="1"/>
    </row>
    <row r="12" spans="2:9" x14ac:dyDescent="0.25">
      <c r="B12" s="3" t="s">
        <v>75</v>
      </c>
      <c r="C12" s="230">
        <v>5670690</v>
      </c>
      <c r="D12" s="262">
        <v>3.5900000000000001E-2</v>
      </c>
      <c r="H12" s="1"/>
    </row>
    <row r="13" spans="2:9" x14ac:dyDescent="0.25">
      <c r="B13" s="3" t="s">
        <v>76</v>
      </c>
      <c r="C13" s="230">
        <v>0</v>
      </c>
      <c r="D13" s="262">
        <v>0</v>
      </c>
      <c r="H13" s="1"/>
    </row>
    <row r="14" spans="2:9" x14ac:dyDescent="0.25">
      <c r="B14" s="3" t="s">
        <v>28</v>
      </c>
      <c r="C14" s="230"/>
      <c r="D14" s="262"/>
      <c r="H14" s="1"/>
    </row>
    <row r="15" spans="2:9" ht="30" x14ac:dyDescent="0.25">
      <c r="B15" s="59" t="s">
        <v>77</v>
      </c>
      <c r="C15" s="231">
        <f>SUM(C11:C14)</f>
        <v>7167807</v>
      </c>
      <c r="D15" s="263">
        <v>0.03</v>
      </c>
      <c r="H15" s="1"/>
    </row>
    <row r="16" spans="2:9" s="63" customFormat="1" x14ac:dyDescent="0.25">
      <c r="B16" s="212"/>
      <c r="C16" s="64"/>
      <c r="D16" s="64"/>
      <c r="E16" s="64"/>
      <c r="F16" s="64"/>
      <c r="G16" s="64"/>
      <c r="H16" s="64"/>
    </row>
    <row r="17" spans="2:16" ht="45" customHeight="1" x14ac:dyDescent="0.25">
      <c r="B17" s="341" t="s">
        <v>247</v>
      </c>
      <c r="C17" s="342"/>
      <c r="D17" s="342"/>
      <c r="E17" s="342"/>
      <c r="F17" s="342"/>
      <c r="G17" s="342"/>
      <c r="H17" s="342"/>
      <c r="I17" s="342"/>
      <c r="J17" s="343"/>
    </row>
    <row r="18" spans="2:16" ht="15" customHeight="1" x14ac:dyDescent="0.25">
      <c r="B18" s="344" t="s">
        <v>228</v>
      </c>
      <c r="C18" s="345"/>
      <c r="D18" s="345"/>
      <c r="E18" s="345"/>
      <c r="F18" s="345"/>
      <c r="G18" s="345"/>
      <c r="H18" s="345"/>
      <c r="I18" s="345"/>
      <c r="J18" s="346"/>
    </row>
    <row r="19" spans="2:16" ht="42.75" customHeight="1" x14ac:dyDescent="0.25">
      <c r="B19" s="3" t="s">
        <v>71</v>
      </c>
      <c r="C19" s="48" t="s">
        <v>222</v>
      </c>
      <c r="D19" s="48" t="s">
        <v>78</v>
      </c>
      <c r="E19" s="48" t="s">
        <v>223</v>
      </c>
      <c r="F19" s="352" t="s">
        <v>224</v>
      </c>
      <c r="G19" s="353"/>
      <c r="H19" s="213" t="s">
        <v>225</v>
      </c>
      <c r="I19" s="213" t="s">
        <v>226</v>
      </c>
      <c r="J19" s="213" t="s">
        <v>227</v>
      </c>
    </row>
    <row r="20" spans="2:16" x14ac:dyDescent="0.25">
      <c r="B20" s="3"/>
      <c r="C20" s="48"/>
      <c r="D20" s="214"/>
      <c r="E20" s="48"/>
      <c r="F20" s="48" t="s">
        <v>79</v>
      </c>
      <c r="G20" s="48" t="s">
        <v>80</v>
      </c>
      <c r="H20" s="48"/>
      <c r="I20" s="48"/>
      <c r="J20" s="48"/>
    </row>
    <row r="21" spans="2:16" x14ac:dyDescent="0.25">
      <c r="B21" s="3" t="s">
        <v>74</v>
      </c>
      <c r="C21" s="215">
        <f>48811418+442402</f>
        <v>49253820</v>
      </c>
      <c r="D21" s="216">
        <f>(E21/C21)-1</f>
        <v>-0.12291984662306399</v>
      </c>
      <c r="E21" s="83">
        <f>42863328+336220</f>
        <v>43199548</v>
      </c>
      <c r="F21" s="83">
        <f>12165156+122995</f>
        <v>12288151</v>
      </c>
      <c r="G21" s="83">
        <v>0</v>
      </c>
      <c r="H21" s="83">
        <v>495109</v>
      </c>
      <c r="I21" s="83">
        <v>6864578</v>
      </c>
      <c r="J21" s="83">
        <f>23215490+336220</f>
        <v>23551710</v>
      </c>
      <c r="M21" s="264"/>
      <c r="N21" s="264"/>
    </row>
    <row r="22" spans="2:16" x14ac:dyDescent="0.25">
      <c r="B22" s="3" t="s">
        <v>75</v>
      </c>
      <c r="C22" s="215">
        <f>150758166</f>
        <v>150758166</v>
      </c>
      <c r="D22" s="216">
        <f t="shared" ref="D22:D23" si="0">(E22/C22)-1</f>
        <v>8.5371620930968284E-2</v>
      </c>
      <c r="E22" s="83">
        <f>163628635</f>
        <v>163628635</v>
      </c>
      <c r="F22" s="83">
        <f>72571699+3722773</f>
        <v>76294472</v>
      </c>
      <c r="G22" s="83">
        <v>0</v>
      </c>
      <c r="H22" s="83">
        <v>6118139</v>
      </c>
      <c r="I22" s="83">
        <v>32200416</v>
      </c>
      <c r="J22" s="83">
        <v>49015608</v>
      </c>
      <c r="M22" s="264"/>
      <c r="N22" s="264"/>
    </row>
    <row r="23" spans="2:16" x14ac:dyDescent="0.25">
      <c r="B23" s="3" t="s">
        <v>76</v>
      </c>
      <c r="C23" s="215">
        <v>44727222</v>
      </c>
      <c r="D23" s="216">
        <f t="shared" si="0"/>
        <v>-0.12728711387440961</v>
      </c>
      <c r="E23" s="83">
        <v>39034023</v>
      </c>
      <c r="F23" s="83">
        <f>19006086+485801</f>
        <v>19491887</v>
      </c>
      <c r="G23" s="83">
        <v>0</v>
      </c>
      <c r="H23" s="83">
        <v>1201177</v>
      </c>
      <c r="I23" s="83">
        <v>9355362</v>
      </c>
      <c r="J23" s="83">
        <v>8985597</v>
      </c>
      <c r="M23" s="264"/>
      <c r="N23" s="264"/>
    </row>
    <row r="24" spans="2:16" x14ac:dyDescent="0.25">
      <c r="B24" s="3" t="s">
        <v>28</v>
      </c>
      <c r="C24" s="215">
        <v>0</v>
      </c>
      <c r="D24" s="216"/>
      <c r="E24" s="83">
        <f t="shared" ref="E24" si="1">SUM(F24:J24)</f>
        <v>0</v>
      </c>
      <c r="F24" s="83"/>
      <c r="G24" s="83"/>
      <c r="H24" s="83"/>
      <c r="I24" s="83"/>
      <c r="J24" s="83"/>
    </row>
    <row r="25" spans="2:16" ht="30" x14ac:dyDescent="0.25">
      <c r="B25" s="59" t="s">
        <v>237</v>
      </c>
      <c r="C25" s="217">
        <f>SUM(C21:C24)</f>
        <v>244739208</v>
      </c>
      <c r="D25" s="218">
        <v>0</v>
      </c>
      <c r="E25" s="217">
        <f t="shared" ref="E25:J25" si="2">SUM(E21:E24)</f>
        <v>245862206</v>
      </c>
      <c r="F25" s="84">
        <f t="shared" si="2"/>
        <v>108074510</v>
      </c>
      <c r="G25" s="84">
        <f t="shared" si="2"/>
        <v>0</v>
      </c>
      <c r="H25" s="84">
        <f t="shared" si="2"/>
        <v>7814425</v>
      </c>
      <c r="I25" s="84">
        <f t="shared" si="2"/>
        <v>48420356</v>
      </c>
      <c r="J25" s="84">
        <f t="shared" si="2"/>
        <v>81552915</v>
      </c>
      <c r="K25" s="264"/>
      <c r="L25" s="265"/>
    </row>
    <row r="26" spans="2:16" s="63" customFormat="1" x14ac:dyDescent="0.25">
      <c r="B26" s="212"/>
      <c r="C26" s="64" t="s">
        <v>244</v>
      </c>
      <c r="D26" s="64"/>
      <c r="E26" s="64" t="s">
        <v>244</v>
      </c>
      <c r="F26" s="64"/>
      <c r="G26" s="64"/>
      <c r="H26" s="64"/>
    </row>
    <row r="27" spans="2:16" s="63" customFormat="1" x14ac:dyDescent="0.25">
      <c r="B27" s="212"/>
      <c r="C27" s="64"/>
      <c r="D27" s="64"/>
      <c r="E27" s="64"/>
      <c r="F27" s="64"/>
      <c r="G27" s="64"/>
      <c r="H27" s="64"/>
    </row>
    <row r="28" spans="2:16" s="63" customFormat="1" ht="23.45" customHeight="1" x14ac:dyDescent="0.25">
      <c r="B28" s="341" t="s">
        <v>81</v>
      </c>
      <c r="C28" s="342"/>
      <c r="D28" s="342"/>
      <c r="E28" s="342"/>
      <c r="F28" s="342"/>
      <c r="G28" s="342"/>
      <c r="H28" s="342"/>
      <c r="I28" s="342"/>
      <c r="J28" s="343"/>
      <c r="M28" s="269"/>
      <c r="N28" s="269"/>
    </row>
    <row r="29" spans="2:16" x14ac:dyDescent="0.25">
      <c r="B29" s="344" t="s">
        <v>220</v>
      </c>
      <c r="C29" s="345"/>
      <c r="D29" s="345"/>
      <c r="E29" s="345"/>
      <c r="F29" s="345"/>
      <c r="G29" s="345"/>
      <c r="H29" s="345"/>
      <c r="I29" s="345"/>
      <c r="J29" s="346"/>
      <c r="P29" s="21"/>
    </row>
    <row r="30" spans="2:16" ht="42.75" customHeight="1" x14ac:dyDescent="0.25">
      <c r="B30" s="3" t="s">
        <v>82</v>
      </c>
      <c r="C30" s="3" t="s">
        <v>83</v>
      </c>
      <c r="D30" s="48" t="s">
        <v>84</v>
      </c>
      <c r="E30" s="48" t="s">
        <v>85</v>
      </c>
      <c r="F30" s="347" t="s">
        <v>229</v>
      </c>
      <c r="G30" s="348"/>
      <c r="H30" s="48" t="s">
        <v>230</v>
      </c>
      <c r="I30" s="48" t="s">
        <v>231</v>
      </c>
      <c r="J30" s="48" t="s">
        <v>232</v>
      </c>
    </row>
    <row r="31" spans="2:16" ht="15.75" customHeight="1" x14ac:dyDescent="0.25">
      <c r="B31" s="3"/>
      <c r="C31" s="3"/>
      <c r="D31" s="3"/>
      <c r="E31" s="48"/>
      <c r="F31" s="48" t="s">
        <v>79</v>
      </c>
      <c r="G31" s="48" t="s">
        <v>80</v>
      </c>
      <c r="H31" s="48"/>
      <c r="I31" s="48"/>
      <c r="J31" s="48"/>
    </row>
    <row r="32" spans="2:16" x14ac:dyDescent="0.25">
      <c r="B32" s="3" t="s">
        <v>74</v>
      </c>
      <c r="C32" s="215">
        <f>C21-20502925-138808</f>
        <v>28612087</v>
      </c>
      <c r="D32" s="215">
        <f>E32-C32</f>
        <v>-6066264</v>
      </c>
      <c r="E32" s="266">
        <f>E21-19839797-937396-348525+471993</f>
        <v>22545823</v>
      </c>
      <c r="F32" s="266">
        <f>F21-3657310-348525</f>
        <v>8282316</v>
      </c>
      <c r="G32" s="266">
        <v>0</v>
      </c>
      <c r="H32" s="266">
        <f>H21-465402</f>
        <v>29707</v>
      </c>
      <c r="I32" s="266">
        <f>I21-6382410-106524-1+106523</f>
        <v>482166</v>
      </c>
      <c r="J32" s="266">
        <f>J21-9800077-365469+365470</f>
        <v>13751634</v>
      </c>
      <c r="K32" s="268"/>
      <c r="L32" s="268"/>
      <c r="O32" s="264"/>
    </row>
    <row r="33" spans="2:15" x14ac:dyDescent="0.25">
      <c r="B33" s="3" t="s">
        <v>75</v>
      </c>
      <c r="C33" s="215">
        <f>C22-100007329-424869</f>
        <v>50325968</v>
      </c>
      <c r="D33" s="215">
        <f t="shared" ref="D33:D35" si="3">E33-C33</f>
        <v>5899387</v>
      </c>
      <c r="E33" s="266">
        <f>E22-99488315-7011338-2163918+1260291</f>
        <v>56225355</v>
      </c>
      <c r="F33" s="266">
        <f>F22-28571931-2163918</f>
        <v>45558623</v>
      </c>
      <c r="G33" s="266">
        <v>0</v>
      </c>
      <c r="H33" s="266">
        <f>H22-5751051</f>
        <v>367088</v>
      </c>
      <c r="I33" s="266">
        <f>I22-30018700-499677+499679</f>
        <v>2181718</v>
      </c>
      <c r="J33" s="266">
        <f>J22-40897683-760611+760612</f>
        <v>8117926</v>
      </c>
      <c r="K33" s="268"/>
      <c r="L33" s="268"/>
      <c r="O33" s="264"/>
    </row>
    <row r="34" spans="2:15" x14ac:dyDescent="0.25">
      <c r="B34" s="3" t="s">
        <v>76</v>
      </c>
      <c r="C34" s="215">
        <f>C23-31175692</f>
        <v>13551530</v>
      </c>
      <c r="D34" s="215">
        <f t="shared" si="3"/>
        <v>77689</v>
      </c>
      <c r="E34" s="266">
        <v>13629219</v>
      </c>
      <c r="F34" s="266">
        <f>F23-8876107</f>
        <v>10615780</v>
      </c>
      <c r="G34" s="266">
        <v>0</v>
      </c>
      <c r="H34" s="266">
        <f>H23-1081059+495549</f>
        <v>615667</v>
      </c>
      <c r="I34" s="266">
        <f>I23-8492330-145174+145174</f>
        <v>863032</v>
      </c>
      <c r="J34" s="266">
        <f>J23-7450857-139436+139436</f>
        <v>1534740</v>
      </c>
      <c r="K34" s="268"/>
      <c r="L34" s="268"/>
      <c r="O34" s="264"/>
    </row>
    <row r="35" spans="2:15" x14ac:dyDescent="0.25">
      <c r="B35" s="3" t="s">
        <v>240</v>
      </c>
      <c r="C35" s="215">
        <v>750000</v>
      </c>
      <c r="D35" s="215">
        <f t="shared" si="3"/>
        <v>297564</v>
      </c>
      <c r="E35" s="266">
        <v>1047564</v>
      </c>
      <c r="F35" s="266">
        <v>0</v>
      </c>
      <c r="G35" s="266">
        <v>0</v>
      </c>
      <c r="H35" s="266">
        <v>0</v>
      </c>
      <c r="I35" s="266"/>
      <c r="J35" s="266">
        <v>0</v>
      </c>
      <c r="K35" s="264"/>
      <c r="L35" s="264"/>
      <c r="M35" s="264"/>
      <c r="N35" s="264"/>
      <c r="O35" s="264"/>
    </row>
    <row r="36" spans="2:15" x14ac:dyDescent="0.25">
      <c r="B36" s="3"/>
      <c r="C36" s="3"/>
      <c r="D36" s="3"/>
      <c r="E36" s="219"/>
      <c r="F36" s="219"/>
      <c r="G36" s="219"/>
      <c r="H36" s="219"/>
      <c r="I36" s="219"/>
      <c r="J36" s="219"/>
    </row>
    <row r="37" spans="2:15" x14ac:dyDescent="0.25">
      <c r="B37" s="3"/>
      <c r="C37" s="3"/>
      <c r="D37" s="3"/>
      <c r="E37" s="219"/>
      <c r="F37" s="219"/>
      <c r="G37" s="219"/>
      <c r="H37" s="219"/>
      <c r="I37" s="219"/>
      <c r="J37" s="219"/>
    </row>
    <row r="38" spans="2:15" x14ac:dyDescent="0.25">
      <c r="B38" s="3"/>
      <c r="C38" s="3"/>
      <c r="D38" s="3"/>
      <c r="E38" s="219"/>
      <c r="F38" s="219"/>
      <c r="G38" s="219"/>
      <c r="H38" s="219"/>
      <c r="I38" s="219"/>
      <c r="J38" s="219"/>
      <c r="M38" s="268"/>
    </row>
    <row r="39" spans="2:15" x14ac:dyDescent="0.25">
      <c r="B39" s="59" t="s">
        <v>236</v>
      </c>
      <c r="C39" s="267">
        <f>SUM(C32:C38)</f>
        <v>93239585</v>
      </c>
      <c r="D39" s="267">
        <f>SUM(D32:D38)</f>
        <v>208376</v>
      </c>
      <c r="E39" s="267">
        <f t="shared" ref="E39:J39" si="4">SUM(E32:E38)</f>
        <v>93447961</v>
      </c>
      <c r="F39" s="267">
        <f t="shared" si="4"/>
        <v>64456719</v>
      </c>
      <c r="G39" s="267">
        <f t="shared" si="4"/>
        <v>0</v>
      </c>
      <c r="H39" s="267">
        <f t="shared" si="4"/>
        <v>1012462</v>
      </c>
      <c r="I39" s="267">
        <f t="shared" si="4"/>
        <v>3526916</v>
      </c>
      <c r="J39" s="267">
        <f t="shared" si="4"/>
        <v>23404300</v>
      </c>
      <c r="K39" s="265"/>
      <c r="M39" s="268"/>
    </row>
    <row r="40" spans="2:15" s="63" customFormat="1" x14ac:dyDescent="0.25">
      <c r="C40" s="64"/>
      <c r="D40" s="64"/>
      <c r="E40" s="64"/>
      <c r="F40" s="220"/>
      <c r="G40" s="220"/>
      <c r="H40" s="220"/>
      <c r="N40" s="270"/>
      <c r="O40" s="270"/>
    </row>
    <row r="41" spans="2:15" s="63" customFormat="1" x14ac:dyDescent="0.25">
      <c r="C41" s="64"/>
      <c r="D41" s="64"/>
      <c r="E41" s="64"/>
      <c r="F41" s="220"/>
      <c r="G41" s="220"/>
      <c r="H41" s="220"/>
      <c r="I41" s="269"/>
      <c r="J41" s="269"/>
      <c r="N41" s="270"/>
      <c r="O41" s="270"/>
    </row>
    <row r="42" spans="2:15" s="63" customFormat="1" x14ac:dyDescent="0.25">
      <c r="B42" s="344" t="s">
        <v>221</v>
      </c>
      <c r="C42" s="345"/>
      <c r="D42" s="345"/>
      <c r="E42" s="345"/>
      <c r="F42" s="345"/>
      <c r="G42" s="345"/>
      <c r="H42" s="346"/>
    </row>
    <row r="43" spans="2:15" s="63" customFormat="1" ht="42.6" customHeight="1" x14ac:dyDescent="0.25">
      <c r="B43" s="3" t="s">
        <v>82</v>
      </c>
      <c r="C43" s="3" t="s">
        <v>86</v>
      </c>
      <c r="D43" s="48" t="s">
        <v>84</v>
      </c>
      <c r="E43" s="48" t="s">
        <v>87</v>
      </c>
      <c r="F43" s="242" t="s">
        <v>242</v>
      </c>
      <c r="G43" s="48" t="s">
        <v>233</v>
      </c>
      <c r="H43" s="48" t="s">
        <v>234</v>
      </c>
    </row>
    <row r="44" spans="2:15" s="63" customFormat="1" x14ac:dyDescent="0.25">
      <c r="B44" s="3" t="s">
        <v>74</v>
      </c>
      <c r="C44" s="215">
        <v>2139814</v>
      </c>
      <c r="D44" s="215">
        <f>E44-C44</f>
        <v>-551716</v>
      </c>
      <c r="E44" s="266">
        <f>SUM(F44:H44)</f>
        <v>1588098</v>
      </c>
      <c r="F44" s="266">
        <v>0</v>
      </c>
      <c r="G44" s="266">
        <v>1588098</v>
      </c>
      <c r="H44" s="266">
        <v>0</v>
      </c>
    </row>
    <row r="45" spans="2:15" s="63" customFormat="1" x14ac:dyDescent="0.25">
      <c r="B45" s="3" t="s">
        <v>75</v>
      </c>
      <c r="C45" s="215">
        <v>15003604</v>
      </c>
      <c r="D45" s="215">
        <f t="shared" ref="D45:D48" si="5">E45-C45</f>
        <v>1649647</v>
      </c>
      <c r="E45" s="266">
        <f t="shared" ref="E45:E48" si="6">SUM(F45:H45)</f>
        <v>16653251</v>
      </c>
      <c r="F45" s="266">
        <v>0</v>
      </c>
      <c r="G45" s="266">
        <v>7860483</v>
      </c>
      <c r="H45" s="266">
        <v>8792768</v>
      </c>
    </row>
    <row r="46" spans="2:15" s="63" customFormat="1" x14ac:dyDescent="0.25">
      <c r="B46" s="3" t="s">
        <v>76</v>
      </c>
      <c r="C46" s="215">
        <v>3232714</v>
      </c>
      <c r="D46" s="215">
        <f t="shared" si="5"/>
        <v>1003509</v>
      </c>
      <c r="E46" s="266">
        <f t="shared" si="6"/>
        <v>4236223</v>
      </c>
      <c r="F46" s="266">
        <v>257722</v>
      </c>
      <c r="G46" s="266">
        <v>2288336</v>
      </c>
      <c r="H46" s="266">
        <v>1690165</v>
      </c>
    </row>
    <row r="47" spans="2:15" s="63" customFormat="1" x14ac:dyDescent="0.25">
      <c r="B47" s="3" t="s">
        <v>88</v>
      </c>
      <c r="C47" s="215">
        <v>-1600000</v>
      </c>
      <c r="D47" s="215">
        <f t="shared" si="5"/>
        <v>1600000</v>
      </c>
      <c r="E47" s="266">
        <f t="shared" si="6"/>
        <v>0</v>
      </c>
      <c r="F47" s="266">
        <v>0</v>
      </c>
      <c r="G47" s="266">
        <v>0</v>
      </c>
      <c r="H47" s="266">
        <v>0</v>
      </c>
    </row>
    <row r="48" spans="2:15" s="63" customFormat="1" x14ac:dyDescent="0.25">
      <c r="B48" s="3" t="s">
        <v>89</v>
      </c>
      <c r="C48" s="215">
        <v>0</v>
      </c>
      <c r="D48" s="215">
        <f t="shared" si="5"/>
        <v>0</v>
      </c>
      <c r="E48" s="266">
        <f t="shared" si="6"/>
        <v>0</v>
      </c>
      <c r="F48" s="266">
        <v>0</v>
      </c>
      <c r="G48" s="266">
        <v>0</v>
      </c>
      <c r="H48" s="266">
        <v>0</v>
      </c>
    </row>
    <row r="49" spans="2:10" s="63" customFormat="1" x14ac:dyDescent="0.25">
      <c r="B49" s="59" t="s">
        <v>235</v>
      </c>
      <c r="C49" s="267">
        <f>SUM(C44:C48)</f>
        <v>18776132</v>
      </c>
      <c r="D49" s="267">
        <f>SUM(D44:D48)</f>
        <v>3701440</v>
      </c>
      <c r="E49" s="267">
        <f>SUM(E44:E48)</f>
        <v>22477572</v>
      </c>
      <c r="F49" s="267">
        <f t="shared" ref="F49:H49" si="7">SUM(F44:F48)</f>
        <v>257722</v>
      </c>
      <c r="G49" s="267">
        <f t="shared" si="7"/>
        <v>11736917</v>
      </c>
      <c r="H49" s="267">
        <f t="shared" si="7"/>
        <v>10482933</v>
      </c>
    </row>
    <row r="50" spans="2:10" s="63" customFormat="1" x14ac:dyDescent="0.25">
      <c r="C50" s="64"/>
      <c r="D50" s="64"/>
      <c r="E50" s="64"/>
      <c r="F50" s="63" t="s">
        <v>243</v>
      </c>
      <c r="G50" s="220"/>
      <c r="H50" s="220"/>
    </row>
    <row r="51" spans="2:10" s="63" customFormat="1" ht="15.75" thickBot="1" x14ac:dyDescent="0.3">
      <c r="B51" s="210"/>
      <c r="C51" s="220"/>
      <c r="D51" s="220"/>
      <c r="E51" s="220"/>
      <c r="F51" s="220"/>
      <c r="G51" s="220"/>
      <c r="H51" s="220"/>
    </row>
    <row r="52" spans="2:10" s="63" customFormat="1" ht="30" x14ac:dyDescent="0.25">
      <c r="B52" s="221"/>
      <c r="C52" s="222" t="s">
        <v>90</v>
      </c>
      <c r="D52" s="222" t="s">
        <v>84</v>
      </c>
      <c r="E52" s="222" t="s">
        <v>78</v>
      </c>
      <c r="F52" s="223" t="s">
        <v>91</v>
      </c>
      <c r="G52" s="220"/>
      <c r="H52" s="220"/>
      <c r="I52" s="220"/>
    </row>
    <row r="53" spans="2:10" s="63" customFormat="1" x14ac:dyDescent="0.25">
      <c r="B53" s="232" t="s">
        <v>92</v>
      </c>
      <c r="C53" s="271">
        <f>C39+C49</f>
        <v>112015717</v>
      </c>
      <c r="D53" s="271">
        <f>D39+D49</f>
        <v>3909816</v>
      </c>
      <c r="E53" s="296">
        <f>D53/C53</f>
        <v>3.4904173313464577E-2</v>
      </c>
      <c r="F53" s="272">
        <f>E39+E49</f>
        <v>115925533</v>
      </c>
      <c r="G53" s="220"/>
      <c r="H53" s="220"/>
      <c r="I53" s="220"/>
    </row>
    <row r="54" spans="2:10" s="63" customFormat="1" x14ac:dyDescent="0.25">
      <c r="B54" s="232" t="s">
        <v>93</v>
      </c>
      <c r="C54" s="273">
        <f>'1. Reconciliation'!C11</f>
        <v>112015717</v>
      </c>
      <c r="D54" s="273">
        <f>'1. Reconciliation'!C25</f>
        <v>3909816</v>
      </c>
      <c r="E54" s="297">
        <f>D54/C54</f>
        <v>3.4904173313464577E-2</v>
      </c>
      <c r="F54" s="274">
        <f>'1. Reconciliation'!C23</f>
        <v>115925533</v>
      </c>
      <c r="G54" s="220"/>
      <c r="H54" s="220"/>
      <c r="I54" s="220"/>
    </row>
    <row r="55" spans="2:10" s="63" customFormat="1" ht="18" customHeight="1" thickBot="1" x14ac:dyDescent="0.3">
      <c r="B55" s="233" t="s">
        <v>94</v>
      </c>
      <c r="C55" s="275">
        <f>C53-C54</f>
        <v>0</v>
      </c>
      <c r="D55" s="275">
        <f t="shared" ref="D55:F55" si="8">D53-D54</f>
        <v>0</v>
      </c>
      <c r="E55" s="275">
        <f t="shared" si="8"/>
        <v>0</v>
      </c>
      <c r="F55" s="276">
        <f t="shared" si="8"/>
        <v>0</v>
      </c>
      <c r="G55" s="220"/>
      <c r="H55" s="220"/>
      <c r="I55" s="220"/>
    </row>
    <row r="56" spans="2:10" s="63" customFormat="1" x14ac:dyDescent="0.25">
      <c r="G56" s="220"/>
      <c r="H56" s="220"/>
      <c r="I56" s="220"/>
      <c r="J56" s="1"/>
    </row>
    <row r="57" spans="2:10" x14ac:dyDescent="0.25">
      <c r="B57" s="224"/>
      <c r="C57" s="225"/>
      <c r="D57" s="226"/>
      <c r="E57" s="227"/>
      <c r="F57" s="227"/>
      <c r="G57" s="227"/>
      <c r="H57" s="228"/>
    </row>
    <row r="58" spans="2:10" x14ac:dyDescent="0.25">
      <c r="B58" s="349" t="s">
        <v>95</v>
      </c>
      <c r="C58" s="350"/>
      <c r="D58" s="350"/>
      <c r="E58" s="350"/>
      <c r="F58" s="350"/>
      <c r="G58" s="351"/>
      <c r="H58" s="228"/>
    </row>
    <row r="59" spans="2:10" x14ac:dyDescent="0.25">
      <c r="B59" s="344" t="s">
        <v>96</v>
      </c>
      <c r="C59" s="345"/>
      <c r="D59" s="345"/>
      <c r="E59" s="345"/>
      <c r="F59" s="345"/>
      <c r="G59" s="346"/>
      <c r="H59" s="229"/>
    </row>
    <row r="60" spans="2:10" x14ac:dyDescent="0.25">
      <c r="B60" s="339">
        <v>671268</v>
      </c>
      <c r="C60" s="340"/>
      <c r="D60" s="340"/>
      <c r="E60" s="340"/>
      <c r="F60" s="340"/>
      <c r="G60" s="340"/>
    </row>
    <row r="61" spans="2:10" x14ac:dyDescent="0.25">
      <c r="B61" s="340"/>
      <c r="C61" s="340"/>
      <c r="D61" s="340"/>
      <c r="E61" s="340"/>
      <c r="F61" s="340"/>
      <c r="G61" s="340"/>
    </row>
    <row r="62" spans="2:10" x14ac:dyDescent="0.25">
      <c r="B62" s="340"/>
      <c r="C62" s="340"/>
      <c r="D62" s="340"/>
      <c r="E62" s="340"/>
      <c r="F62" s="340"/>
      <c r="G62" s="340"/>
    </row>
    <row r="63" spans="2:10" x14ac:dyDescent="0.25">
      <c r="B63" s="340"/>
      <c r="C63" s="340"/>
      <c r="D63" s="340"/>
      <c r="E63" s="340"/>
      <c r="F63" s="340"/>
      <c r="G63" s="340"/>
    </row>
    <row r="64" spans="2:10" x14ac:dyDescent="0.25">
      <c r="B64" s="340"/>
      <c r="C64" s="340"/>
      <c r="D64" s="340"/>
      <c r="E64" s="340"/>
      <c r="F64" s="340"/>
      <c r="G64" s="340"/>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66" orientation="landscape" r:id="rId1"/>
  <headerFooter>
    <oddFooter>&amp;L&amp;D&amp;R&amp;F,&amp;A,</oddFooter>
  </headerFooter>
  <ignoredErrors>
    <ignoredError sqref="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theme="4"/>
    <pageSetUpPr fitToPage="1"/>
  </sheetPr>
  <dimension ref="B1:I27"/>
  <sheetViews>
    <sheetView showGridLines="0" zoomScale="90" zoomScaleNormal="90" workbookViewId="0">
      <selection activeCell="I13" sqref="I13"/>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9.5703125" style="1" bestFit="1" customWidth="1"/>
    <col min="6" max="6" width="11.5703125" style="1" bestFit="1" customWidth="1"/>
    <col min="7" max="16384" width="8.85546875" style="1"/>
  </cols>
  <sheetData>
    <row r="1" spans="2:4" x14ac:dyDescent="0.25">
      <c r="B1" s="354" t="s">
        <v>97</v>
      </c>
      <c r="C1" s="354"/>
      <c r="D1" s="354"/>
    </row>
    <row r="2" spans="2:4" ht="21" x14ac:dyDescent="0.35">
      <c r="B2" s="355" t="s">
        <v>5</v>
      </c>
      <c r="C2" s="356"/>
      <c r="D2" s="357"/>
    </row>
    <row r="3" spans="2:4" ht="18.75" x14ac:dyDescent="0.3">
      <c r="B3" s="359" t="s">
        <v>98</v>
      </c>
      <c r="C3" s="360"/>
      <c r="D3" s="361"/>
    </row>
    <row r="4" spans="2:4" ht="65.25" customHeight="1" x14ac:dyDescent="0.25">
      <c r="B4" s="358" t="s">
        <v>238</v>
      </c>
      <c r="C4" s="358"/>
      <c r="D4" s="358"/>
    </row>
    <row r="5" spans="2:4" x14ac:dyDescent="0.25">
      <c r="B5" s="21"/>
      <c r="C5" s="2"/>
      <c r="D5" s="2"/>
    </row>
    <row r="6" spans="2:4" x14ac:dyDescent="0.25">
      <c r="B6" s="363" t="s">
        <v>99</v>
      </c>
      <c r="C6" s="362" t="s">
        <v>100</v>
      </c>
      <c r="D6" s="362" t="s">
        <v>101</v>
      </c>
    </row>
    <row r="7" spans="2:4" x14ac:dyDescent="0.25">
      <c r="B7" s="363"/>
      <c r="C7" s="362"/>
      <c r="D7" s="362"/>
    </row>
    <row r="8" spans="2:4" x14ac:dyDescent="0.25">
      <c r="B8" s="81" t="s">
        <v>22</v>
      </c>
      <c r="C8" s="259"/>
      <c r="D8" s="260">
        <v>244739208</v>
      </c>
    </row>
    <row r="9" spans="2:4" x14ac:dyDescent="0.25">
      <c r="B9" s="109" t="s">
        <v>258</v>
      </c>
      <c r="C9" s="301">
        <f>D9/$D$8</f>
        <v>3.0871657474678106E-2</v>
      </c>
      <c r="D9" s="261">
        <v>7555505</v>
      </c>
    </row>
    <row r="10" spans="2:4" x14ac:dyDescent="0.25">
      <c r="B10" s="109" t="s">
        <v>259</v>
      </c>
      <c r="C10" s="301">
        <f t="shared" ref="C10:C11" si="0">D10/$D$8</f>
        <v>1.3709608923921713E-2</v>
      </c>
      <c r="D10" s="261">
        <v>3355278.8300303323</v>
      </c>
    </row>
    <row r="11" spans="2:4" x14ac:dyDescent="0.25">
      <c r="B11" s="109" t="s">
        <v>263</v>
      </c>
      <c r="C11" s="301">
        <f t="shared" si="0"/>
        <v>-4.3684356163268189E-3</v>
      </c>
      <c r="D11" s="261">
        <v>-1069127.4729388175</v>
      </c>
    </row>
    <row r="12" spans="2:4" x14ac:dyDescent="0.25">
      <c r="B12" s="109" t="s">
        <v>264</v>
      </c>
      <c r="C12" s="301">
        <f t="shared" ref="C12:C16" si="1">D12/$D$8</f>
        <v>-4.4813093569988499E-3</v>
      </c>
      <c r="D12" s="261">
        <v>-1096752.1028348878</v>
      </c>
    </row>
    <row r="13" spans="2:4" x14ac:dyDescent="0.25">
      <c r="B13" s="109" t="s">
        <v>265</v>
      </c>
      <c r="C13" s="301">
        <f t="shared" si="1"/>
        <v>-5.0677276241982627E-3</v>
      </c>
      <c r="D13" s="261">
        <v>-1240271.6451060046</v>
      </c>
    </row>
    <row r="14" spans="2:4" x14ac:dyDescent="0.25">
      <c r="B14" s="109" t="s">
        <v>260</v>
      </c>
      <c r="C14" s="301">
        <f t="shared" si="1"/>
        <v>-8.2976823320575974E-3</v>
      </c>
      <c r="D14" s="261">
        <v>-2030768.2021833695</v>
      </c>
    </row>
    <row r="15" spans="2:4" x14ac:dyDescent="0.25">
      <c r="B15" s="109" t="s">
        <v>261</v>
      </c>
      <c r="C15" s="301">
        <f t="shared" si="1"/>
        <v>-1.5694075625829758E-2</v>
      </c>
      <c r="D15" s="261">
        <v>-3840955.6389576793</v>
      </c>
    </row>
    <row r="16" spans="2:4" x14ac:dyDescent="0.25">
      <c r="B16" s="109" t="s">
        <v>262</v>
      </c>
      <c r="C16" s="301">
        <f t="shared" si="1"/>
        <v>-1.8012743868304391E-2</v>
      </c>
      <c r="D16" s="261">
        <v>-4408424.6682356726</v>
      </c>
    </row>
    <row r="17" spans="2:9" x14ac:dyDescent="0.25">
      <c r="B17" s="109"/>
      <c r="C17" s="301"/>
      <c r="D17" s="261"/>
    </row>
    <row r="18" spans="2:9" x14ac:dyDescent="0.25">
      <c r="B18" s="109"/>
      <c r="C18" s="301"/>
      <c r="D18" s="261"/>
    </row>
    <row r="19" spans="2:9" x14ac:dyDescent="0.25">
      <c r="B19" s="109"/>
      <c r="C19" s="301"/>
      <c r="D19" s="261"/>
    </row>
    <row r="20" spans="2:9" x14ac:dyDescent="0.25">
      <c r="B20" s="3"/>
      <c r="C20" s="301"/>
      <c r="D20" s="261"/>
    </row>
    <row r="21" spans="2:9" x14ac:dyDescent="0.25">
      <c r="B21" s="3"/>
      <c r="C21" s="301"/>
      <c r="D21" s="261"/>
    </row>
    <row r="22" spans="2:9" x14ac:dyDescent="0.25">
      <c r="B22" s="3"/>
      <c r="C22" s="301"/>
      <c r="D22" s="261"/>
    </row>
    <row r="23" spans="2:9" x14ac:dyDescent="0.25">
      <c r="B23" s="81" t="s">
        <v>29</v>
      </c>
      <c r="C23" s="302">
        <f>SUM(D9:D19)/D8</f>
        <v>-1.1340708025115852E-2</v>
      </c>
      <c r="D23" s="260">
        <f>SUM(D8:D22)</f>
        <v>241963692.09977391</v>
      </c>
      <c r="F23" s="313"/>
    </row>
    <row r="24" spans="2:9" x14ac:dyDescent="0.25">
      <c r="B24" s="77"/>
      <c r="C24" s="44"/>
      <c r="D24" s="44"/>
    </row>
    <row r="25" spans="2:9" x14ac:dyDescent="0.25">
      <c r="B25" s="29" t="s">
        <v>102</v>
      </c>
      <c r="C25" s="101"/>
      <c r="D25" s="82">
        <f>SUM(D9:D16)</f>
        <v>-2775515.9002260976</v>
      </c>
      <c r="E25" s="315"/>
      <c r="F25" s="316"/>
      <c r="G25" s="105"/>
      <c r="H25" s="105"/>
      <c r="I25" s="105"/>
    </row>
    <row r="26" spans="2:9" x14ac:dyDescent="0.25">
      <c r="B26" s="29" t="s">
        <v>103</v>
      </c>
      <c r="C26" s="303">
        <f>C23</f>
        <v>-1.1340708025115852E-2</v>
      </c>
      <c r="D26" s="102"/>
    </row>
    <row r="27" spans="2:9" x14ac:dyDescent="0.25">
      <c r="B27" s="77" t="s">
        <v>104</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Q19"/>
  <sheetViews>
    <sheetView showGridLines="0" zoomScale="77" zoomScaleNormal="110" workbookViewId="0">
      <selection activeCell="O12" sqref="O12"/>
    </sheetView>
  </sheetViews>
  <sheetFormatPr defaultRowHeight="15" x14ac:dyDescent="0.25"/>
  <cols>
    <col min="2" max="2" width="37.5703125" customWidth="1"/>
    <col min="3" max="3" width="18.85546875" customWidth="1"/>
    <col min="4" max="4" width="18.140625" customWidth="1"/>
    <col min="5" max="5" width="25.140625" customWidth="1"/>
    <col min="6" max="6" width="27.42578125" customWidth="1"/>
    <col min="7" max="7" width="45.5703125" customWidth="1"/>
    <col min="8" max="8" width="13.5703125" bestFit="1" customWidth="1"/>
    <col min="9" max="9" width="15.28515625" bestFit="1" customWidth="1"/>
    <col min="10" max="10" width="11.28515625" bestFit="1" customWidth="1"/>
    <col min="15" max="15" width="15.28515625" bestFit="1" customWidth="1"/>
    <col min="17" max="17" width="12.42578125" bestFit="1" customWidth="1"/>
  </cols>
  <sheetData>
    <row r="1" spans="2:17" x14ac:dyDescent="0.25">
      <c r="B1" s="321" t="s">
        <v>105</v>
      </c>
      <c r="C1" s="321"/>
      <c r="D1" s="321"/>
      <c r="E1" s="321"/>
      <c r="F1" s="321"/>
      <c r="G1" s="321"/>
    </row>
    <row r="2" spans="2:17" ht="18.75" x14ac:dyDescent="0.3">
      <c r="B2" s="365" t="s">
        <v>13</v>
      </c>
      <c r="C2" s="366"/>
      <c r="D2" s="366"/>
      <c r="E2" s="366"/>
      <c r="F2" s="366"/>
      <c r="G2" s="367"/>
    </row>
    <row r="3" spans="2:17" ht="18.75" x14ac:dyDescent="0.3">
      <c r="B3" s="359" t="s">
        <v>106</v>
      </c>
      <c r="C3" s="360"/>
      <c r="D3" s="360"/>
      <c r="E3" s="360"/>
      <c r="F3" s="360"/>
      <c r="G3" s="361"/>
    </row>
    <row r="4" spans="2:17" ht="63" customHeight="1" x14ac:dyDescent="0.25">
      <c r="B4" s="368" t="s">
        <v>216</v>
      </c>
      <c r="C4" s="368"/>
      <c r="D4" s="368"/>
      <c r="E4" s="368"/>
      <c r="F4" s="368"/>
      <c r="G4" s="368"/>
    </row>
    <row r="5" spans="2:17" ht="17.45" customHeight="1" x14ac:dyDescent="0.25">
      <c r="B5" s="47" t="s">
        <v>107</v>
      </c>
      <c r="C5" s="369" t="s">
        <v>108</v>
      </c>
      <c r="D5" s="370"/>
      <c r="E5" s="370"/>
      <c r="F5" s="371"/>
      <c r="G5" s="58" t="s">
        <v>109</v>
      </c>
    </row>
    <row r="6" spans="2:17" ht="31.5" customHeight="1" x14ac:dyDescent="0.25">
      <c r="B6" s="16"/>
      <c r="C6" s="49" t="s">
        <v>110</v>
      </c>
      <c r="D6" s="50" t="s">
        <v>111</v>
      </c>
      <c r="E6" s="234" t="s">
        <v>112</v>
      </c>
      <c r="F6" s="234" t="s">
        <v>245</v>
      </c>
      <c r="G6" s="16"/>
    </row>
    <row r="7" spans="2:17" ht="31.5" customHeight="1" x14ac:dyDescent="0.25">
      <c r="B7" s="235" t="s">
        <v>113</v>
      </c>
      <c r="C7" s="236">
        <v>0.02</v>
      </c>
      <c r="D7" s="237">
        <v>500000</v>
      </c>
      <c r="E7" s="238">
        <v>0.6</v>
      </c>
      <c r="F7" s="239">
        <f>C7*E7</f>
        <v>1.2E-2</v>
      </c>
      <c r="G7" s="235" t="s">
        <v>114</v>
      </c>
    </row>
    <row r="8" spans="2:17" ht="27" customHeight="1" x14ac:dyDescent="0.25">
      <c r="B8" s="16" t="s">
        <v>115</v>
      </c>
      <c r="C8" s="49">
        <v>0.02</v>
      </c>
      <c r="D8" s="50">
        <v>165116</v>
      </c>
      <c r="E8" s="9">
        <v>9.2375243759055717E-2</v>
      </c>
      <c r="F8" s="9">
        <f>C8*E8</f>
        <v>1.8475048751811145E-3</v>
      </c>
      <c r="G8" s="16" t="s">
        <v>251</v>
      </c>
      <c r="H8" s="277"/>
      <c r="I8" s="277"/>
    </row>
    <row r="9" spans="2:17" ht="27" customHeight="1" x14ac:dyDescent="0.25">
      <c r="B9" s="16" t="s">
        <v>116</v>
      </c>
      <c r="C9" s="49">
        <v>0.03</v>
      </c>
      <c r="D9" s="50">
        <v>899688</v>
      </c>
      <c r="E9" s="9">
        <v>0.33555593739703304</v>
      </c>
      <c r="F9" s="9">
        <f t="shared" ref="F9:F15" si="0">C9*E9</f>
        <v>1.0066678121910991E-2</v>
      </c>
      <c r="G9" s="16" t="s">
        <v>251</v>
      </c>
      <c r="H9" s="277"/>
      <c r="I9" s="277"/>
    </row>
    <row r="10" spans="2:17" ht="27" customHeight="1" x14ac:dyDescent="0.25">
      <c r="B10" s="16" t="s">
        <v>47</v>
      </c>
      <c r="C10" s="49">
        <v>0.06</v>
      </c>
      <c r="D10" s="50">
        <v>100353.45283018885</v>
      </c>
      <c r="E10" s="9">
        <v>1.4035788183635895E-2</v>
      </c>
      <c r="F10" s="9">
        <f t="shared" si="0"/>
        <v>8.4214729101815371E-4</v>
      </c>
      <c r="G10" s="16" t="s">
        <v>253</v>
      </c>
      <c r="H10" s="277"/>
      <c r="I10" s="277"/>
    </row>
    <row r="11" spans="2:17" ht="27" customHeight="1" x14ac:dyDescent="0.25">
      <c r="B11" s="16" t="s">
        <v>117</v>
      </c>
      <c r="C11" s="49">
        <v>0.04</v>
      </c>
      <c r="D11" s="50">
        <v>280058.30769230833</v>
      </c>
      <c r="E11" s="9">
        <v>5.8754915376278957E-2</v>
      </c>
      <c r="F11" s="9">
        <f t="shared" si="0"/>
        <v>2.3501966150511581E-3</v>
      </c>
      <c r="G11" s="16" t="s">
        <v>253</v>
      </c>
      <c r="H11" s="277"/>
      <c r="I11" s="277"/>
    </row>
    <row r="12" spans="2:17" ht="27" customHeight="1" x14ac:dyDescent="0.25">
      <c r="B12" s="16" t="s">
        <v>118</v>
      </c>
      <c r="C12" s="49">
        <v>0.04</v>
      </c>
      <c r="D12" s="50">
        <v>128575.57692307721</v>
      </c>
      <c r="E12" s="9">
        <v>2.697455113479973E-2</v>
      </c>
      <c r="F12" s="9">
        <f t="shared" si="0"/>
        <v>1.0789820453919892E-3</v>
      </c>
      <c r="G12" s="16" t="s">
        <v>253</v>
      </c>
      <c r="H12" s="277"/>
      <c r="I12" s="277"/>
    </row>
    <row r="13" spans="2:17" ht="27" customHeight="1" x14ac:dyDescent="0.25">
      <c r="B13" s="30" t="s">
        <v>250</v>
      </c>
      <c r="C13" s="49">
        <v>0.03</v>
      </c>
      <c r="D13" s="50">
        <v>103817.067961165</v>
      </c>
      <c r="E13" s="9">
        <v>2.9040443246427072E-2</v>
      </c>
      <c r="F13" s="9">
        <f t="shared" si="0"/>
        <v>8.7121329739281211E-4</v>
      </c>
      <c r="G13" s="16" t="s">
        <v>253</v>
      </c>
      <c r="H13" s="277"/>
      <c r="I13" s="277"/>
      <c r="O13" s="280"/>
    </row>
    <row r="14" spans="2:17" ht="27" customHeight="1" x14ac:dyDescent="0.25">
      <c r="B14" s="30" t="s">
        <v>252</v>
      </c>
      <c r="C14" s="49">
        <f>140/90-1</f>
        <v>0.55555555555555558</v>
      </c>
      <c r="D14" s="50">
        <v>925395.71428571444</v>
      </c>
      <c r="E14" s="9">
        <v>1.3978344037684718E-2</v>
      </c>
      <c r="F14" s="9">
        <f t="shared" si="0"/>
        <v>7.765746687602622E-3</v>
      </c>
      <c r="G14" s="16" t="s">
        <v>254</v>
      </c>
      <c r="H14" s="277"/>
      <c r="I14" s="277"/>
      <c r="O14" s="280"/>
    </row>
    <row r="15" spans="2:17" ht="27" customHeight="1" x14ac:dyDescent="0.25">
      <c r="B15" s="30" t="s">
        <v>80</v>
      </c>
      <c r="C15" s="49">
        <v>4.3999999999999997E-2</v>
      </c>
      <c r="D15" s="50">
        <v>127185</v>
      </c>
      <c r="E15" s="9">
        <v>0.42899999999999999</v>
      </c>
      <c r="F15" s="9">
        <f t="shared" si="0"/>
        <v>1.8875999999999997E-2</v>
      </c>
      <c r="G15" s="16" t="s">
        <v>255</v>
      </c>
      <c r="H15" s="277"/>
      <c r="I15" s="277"/>
      <c r="O15" s="280"/>
    </row>
    <row r="16" spans="2:17" x14ac:dyDescent="0.25">
      <c r="B16" s="11" t="s">
        <v>18</v>
      </c>
      <c r="C16" s="79" t="s">
        <v>119</v>
      </c>
      <c r="D16" s="80">
        <f>SUM(D8:D15)</f>
        <v>2730189.1196924541</v>
      </c>
      <c r="E16" s="278">
        <f>SUM(E8:E15)</f>
        <v>0.99971522313491512</v>
      </c>
      <c r="F16" s="278">
        <f>SUM(F8:F15)</f>
        <v>4.369846893354884E-2</v>
      </c>
      <c r="G16" s="11"/>
      <c r="O16" s="280"/>
      <c r="Q16" s="277"/>
    </row>
    <row r="17" spans="2:17" x14ac:dyDescent="0.25">
      <c r="B17" s="18"/>
      <c r="E17" t="s">
        <v>120</v>
      </c>
      <c r="Q17" s="277"/>
    </row>
    <row r="18" spans="2:17" x14ac:dyDescent="0.25">
      <c r="Q18" s="279"/>
    </row>
    <row r="19" spans="2:17" x14ac:dyDescent="0.25">
      <c r="B19" s="364" t="s">
        <v>121</v>
      </c>
      <c r="C19" s="364"/>
      <c r="D19" s="364"/>
      <c r="E19" s="364"/>
      <c r="F19" s="243"/>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O80"/>
  <sheetViews>
    <sheetView showGridLines="0" topLeftCell="A7" zoomScale="50" zoomScaleNormal="50" zoomScaleSheetLayoutView="30" workbookViewId="0">
      <selection activeCell="C25" sqref="C25"/>
    </sheetView>
  </sheetViews>
  <sheetFormatPr defaultColWidth="9.140625" defaultRowHeight="15" outlineLevelRow="1" x14ac:dyDescent="0.25"/>
  <cols>
    <col min="1" max="1" width="1.5703125" style="194" customWidth="1"/>
    <col min="2" max="2" width="113.5703125" style="195" customWidth="1"/>
    <col min="3" max="3" width="59.85546875" style="195" customWidth="1"/>
    <col min="4" max="4" width="59.85546875" style="22" customWidth="1"/>
    <col min="5" max="5" width="30.42578125" style="22" bestFit="1" customWidth="1"/>
    <col min="6" max="9" width="9.140625" style="22"/>
    <col min="10" max="10" width="27.28515625" style="22" bestFit="1" customWidth="1"/>
    <col min="11" max="11" width="23.5703125" style="22" bestFit="1" customWidth="1"/>
    <col min="12" max="12" width="28.7109375" style="22" bestFit="1" customWidth="1"/>
    <col min="13" max="13" width="19.85546875" style="22" bestFit="1" customWidth="1"/>
    <col min="14" max="15" width="23.5703125" style="22" bestFit="1" customWidth="1"/>
    <col min="16" max="16384" width="9.140625" style="22"/>
  </cols>
  <sheetData>
    <row r="1" spans="1:6" s="111" customFormat="1" x14ac:dyDescent="0.25">
      <c r="A1" s="110"/>
    </row>
    <row r="2" spans="1:6" s="1" customFormat="1" ht="31.5" x14ac:dyDescent="0.5">
      <c r="B2" s="380" t="s">
        <v>122</v>
      </c>
      <c r="C2" s="380"/>
      <c r="D2" s="380"/>
      <c r="E2" s="209"/>
      <c r="F2" s="209"/>
    </row>
    <row r="3" spans="1:6" s="1" customFormat="1" ht="31.5" x14ac:dyDescent="0.5">
      <c r="B3" s="377" t="s">
        <v>2</v>
      </c>
      <c r="C3" s="378"/>
      <c r="D3" s="379"/>
      <c r="E3" s="113"/>
      <c r="F3" s="113"/>
    </row>
    <row r="4" spans="1:6" s="1" customFormat="1" ht="31.5" x14ac:dyDescent="0.5">
      <c r="B4" s="381" t="s">
        <v>123</v>
      </c>
      <c r="C4" s="382"/>
      <c r="D4" s="383"/>
    </row>
    <row r="5" spans="1:6" s="63" customFormat="1" ht="18.75" x14ac:dyDescent="0.3">
      <c r="B5" s="208"/>
      <c r="C5" s="208"/>
      <c r="D5" s="208"/>
      <c r="E5" s="208"/>
      <c r="F5" s="208"/>
    </row>
    <row r="6" spans="1:6" s="63" customFormat="1" ht="18.75" x14ac:dyDescent="0.3">
      <c r="B6" s="208"/>
      <c r="C6" s="208"/>
      <c r="D6" s="208"/>
      <c r="E6" s="208"/>
      <c r="F6" s="208"/>
    </row>
    <row r="7" spans="1:6" s="113" customFormat="1" ht="31.5" x14ac:dyDescent="0.5">
      <c r="A7" s="112"/>
      <c r="B7" s="372" t="s">
        <v>124</v>
      </c>
      <c r="C7" s="373"/>
      <c r="D7" s="374"/>
    </row>
    <row r="8" spans="1:6" s="117" customFormat="1" ht="31.5" x14ac:dyDescent="0.5">
      <c r="A8" s="114"/>
      <c r="B8" s="115"/>
      <c r="C8" s="201"/>
      <c r="D8" s="116"/>
    </row>
    <row r="9" spans="1:6" s="113" customFormat="1" ht="48" customHeight="1" x14ac:dyDescent="0.5">
      <c r="A9" s="112"/>
      <c r="B9" s="118" t="s">
        <v>125</v>
      </c>
      <c r="C9" s="202"/>
      <c r="D9" s="204"/>
    </row>
    <row r="10" spans="1:6" s="120" customFormat="1" ht="15.75" customHeight="1" x14ac:dyDescent="0.4">
      <c r="A10" s="119"/>
      <c r="B10" s="375"/>
      <c r="C10" s="376"/>
      <c r="D10" s="376"/>
    </row>
    <row r="11" spans="1:6" s="120" customFormat="1" ht="24.75" customHeight="1" x14ac:dyDescent="0.4">
      <c r="A11" s="119"/>
      <c r="B11" s="244"/>
      <c r="C11" s="245"/>
      <c r="D11" s="245"/>
    </row>
    <row r="12" spans="1:6" s="124" customFormat="1" ht="11.25" customHeight="1" x14ac:dyDescent="0.4">
      <c r="A12" s="121"/>
      <c r="B12" s="122"/>
      <c r="C12" s="203"/>
      <c r="D12" s="123"/>
    </row>
    <row r="13" spans="1:6" s="129" customFormat="1" ht="104.25" customHeight="1" x14ac:dyDescent="0.25">
      <c r="A13" s="125"/>
      <c r="B13" s="126" t="s">
        <v>126</v>
      </c>
      <c r="C13" s="127" t="s">
        <v>127</v>
      </c>
      <c r="D13" s="127" t="s">
        <v>128</v>
      </c>
      <c r="E13" s="128"/>
    </row>
    <row r="14" spans="1:6" s="117" customFormat="1" ht="31.5" x14ac:dyDescent="0.5">
      <c r="A14" s="130"/>
      <c r="B14" s="131" t="s">
        <v>129</v>
      </c>
      <c r="C14" s="132"/>
      <c r="D14" s="133"/>
    </row>
    <row r="15" spans="1:6" s="113" customFormat="1" ht="30" hidden="1" customHeight="1" x14ac:dyDescent="0.5">
      <c r="A15" s="134"/>
      <c r="B15" s="135" t="s">
        <v>130</v>
      </c>
      <c r="C15" s="136"/>
      <c r="D15" s="137"/>
      <c r="E15" s="138"/>
    </row>
    <row r="16" spans="1:6" s="117" customFormat="1" ht="30" hidden="1" customHeight="1" x14ac:dyDescent="0.5">
      <c r="A16" s="130"/>
      <c r="B16" s="139" t="s">
        <v>131</v>
      </c>
      <c r="C16" s="140"/>
      <c r="D16" s="141"/>
      <c r="E16" s="142"/>
    </row>
    <row r="17" spans="1:15" s="117" customFormat="1" ht="30" hidden="1" customHeight="1" x14ac:dyDescent="0.5">
      <c r="A17" s="130"/>
      <c r="B17" s="143" t="s">
        <v>132</v>
      </c>
      <c r="C17" s="140"/>
      <c r="D17" s="141"/>
      <c r="E17" s="142"/>
    </row>
    <row r="18" spans="1:15" s="117" customFormat="1" ht="30" hidden="1" customHeight="1" x14ac:dyDescent="0.5">
      <c r="A18" s="130"/>
      <c r="B18" s="139" t="s">
        <v>133</v>
      </c>
      <c r="C18" s="140"/>
      <c r="D18" s="141"/>
      <c r="E18" s="142"/>
    </row>
    <row r="19" spans="1:15" s="117" customFormat="1" ht="30" hidden="1" customHeight="1" x14ac:dyDescent="0.5">
      <c r="A19" s="130"/>
      <c r="B19" s="139" t="s">
        <v>134</v>
      </c>
      <c r="C19" s="140"/>
      <c r="D19" s="141"/>
      <c r="E19" s="142"/>
    </row>
    <row r="20" spans="1:15" s="117" customFormat="1" ht="30" hidden="1" customHeight="1" x14ac:dyDescent="0.5">
      <c r="A20" s="130"/>
      <c r="B20" s="139" t="s">
        <v>135</v>
      </c>
      <c r="C20" s="140"/>
      <c r="D20" s="141"/>
      <c r="E20" s="142"/>
    </row>
    <row r="21" spans="1:15" s="113" customFormat="1" ht="30" customHeight="1" x14ac:dyDescent="0.5">
      <c r="A21" s="134"/>
      <c r="B21" s="144" t="s">
        <v>136</v>
      </c>
      <c r="C21" s="145">
        <v>3719314</v>
      </c>
      <c r="D21" s="145">
        <v>1681543</v>
      </c>
      <c r="E21" s="138"/>
      <c r="J21" s="117"/>
    </row>
    <row r="22" spans="1:15" s="117" customFormat="1" ht="30" customHeight="1" x14ac:dyDescent="0.5">
      <c r="A22" s="130"/>
      <c r="B22" s="146" t="s">
        <v>137</v>
      </c>
      <c r="C22" s="145">
        <v>0</v>
      </c>
      <c r="D22" s="147">
        <v>0</v>
      </c>
      <c r="E22" s="138"/>
    </row>
    <row r="23" spans="1:15" s="113" customFormat="1" ht="30" customHeight="1" x14ac:dyDescent="0.5">
      <c r="A23" s="134"/>
      <c r="B23" s="131" t="s">
        <v>138</v>
      </c>
      <c r="C23" s="148">
        <f>SUM(C21:C22)</f>
        <v>3719314</v>
      </c>
      <c r="D23" s="148">
        <f>SUM(D21:D22)</f>
        <v>1681543</v>
      </c>
      <c r="E23" s="138"/>
    </row>
    <row r="24" spans="1:15" s="154" customFormat="1" ht="15" customHeight="1" x14ac:dyDescent="0.5">
      <c r="A24" s="149"/>
      <c r="B24" s="150"/>
      <c r="C24" s="151"/>
      <c r="D24" s="152"/>
      <c r="E24" s="153"/>
    </row>
    <row r="25" spans="1:15" s="154" customFormat="1" ht="30" customHeight="1" x14ac:dyDescent="0.5">
      <c r="A25" s="149"/>
      <c r="B25" s="155" t="s">
        <v>139</v>
      </c>
      <c r="C25" s="151">
        <v>3927390</v>
      </c>
      <c r="D25" s="152">
        <v>0</v>
      </c>
      <c r="E25" s="153"/>
    </row>
    <row r="26" spans="1:15" s="154" customFormat="1" ht="30" customHeight="1" x14ac:dyDescent="0.5">
      <c r="A26" s="149"/>
      <c r="B26" s="156" t="s">
        <v>80</v>
      </c>
      <c r="C26" s="151">
        <v>0</v>
      </c>
      <c r="D26" s="152">
        <v>0</v>
      </c>
      <c r="E26" s="153"/>
      <c r="M26" s="153"/>
    </row>
    <row r="27" spans="1:15" s="113" customFormat="1" ht="30" customHeight="1" x14ac:dyDescent="0.5">
      <c r="A27" s="134"/>
      <c r="B27" s="157" t="s">
        <v>140</v>
      </c>
      <c r="C27" s="136">
        <f>SUM(C24:C26)</f>
        <v>3927390</v>
      </c>
      <c r="D27" s="136">
        <f>SUM(D24:D26)</f>
        <v>0</v>
      </c>
      <c r="E27" s="138"/>
      <c r="M27" s="138"/>
      <c r="N27" s="154"/>
      <c r="O27" s="154"/>
    </row>
    <row r="28" spans="1:15" s="117" customFormat="1" ht="30" customHeight="1" x14ac:dyDescent="0.5">
      <c r="A28" s="130"/>
      <c r="B28" s="158" t="s">
        <v>141</v>
      </c>
      <c r="C28" s="159">
        <f>C23+C27</f>
        <v>7646704</v>
      </c>
      <c r="D28" s="159">
        <f>D23+D27</f>
        <v>1681543</v>
      </c>
      <c r="E28" s="138"/>
    </row>
    <row r="29" spans="1:15" s="154" customFormat="1" ht="27" hidden="1" customHeight="1" x14ac:dyDescent="0.5">
      <c r="A29" s="149"/>
      <c r="B29" s="160" t="s">
        <v>37</v>
      </c>
      <c r="C29" s="161"/>
      <c r="D29" s="162"/>
      <c r="E29" s="163"/>
    </row>
    <row r="30" spans="1:15" s="117" customFormat="1" ht="30" hidden="1" customHeight="1" x14ac:dyDescent="0.5">
      <c r="A30" s="130"/>
      <c r="B30" s="164" t="s">
        <v>142</v>
      </c>
      <c r="C30" s="151"/>
      <c r="D30" s="141"/>
    </row>
    <row r="31" spans="1:15" s="117" customFormat="1" ht="30" hidden="1" customHeight="1" x14ac:dyDescent="0.5">
      <c r="A31" s="130"/>
      <c r="B31" s="165" t="s">
        <v>143</v>
      </c>
      <c r="C31" s="151"/>
      <c r="D31" s="141"/>
    </row>
    <row r="32" spans="1:15" s="117" customFormat="1" ht="30" hidden="1" customHeight="1" x14ac:dyDescent="0.5">
      <c r="A32" s="130"/>
      <c r="B32" s="165" t="s">
        <v>48</v>
      </c>
      <c r="C32" s="151"/>
      <c r="D32" s="141"/>
    </row>
    <row r="33" spans="1:12" s="117" customFormat="1" ht="30" hidden="1" customHeight="1" x14ac:dyDescent="0.5">
      <c r="A33" s="130"/>
      <c r="B33" s="165" t="s">
        <v>144</v>
      </c>
      <c r="C33" s="151"/>
      <c r="D33" s="141"/>
    </row>
    <row r="34" spans="1:12" s="117" customFormat="1" ht="30" hidden="1" customHeight="1" x14ac:dyDescent="0.5">
      <c r="A34" s="130"/>
      <c r="B34" s="165" t="s">
        <v>145</v>
      </c>
      <c r="C34" s="151"/>
      <c r="D34" s="141"/>
    </row>
    <row r="35" spans="1:12" s="117" customFormat="1" ht="30" hidden="1" customHeight="1" x14ac:dyDescent="0.5">
      <c r="A35" s="130"/>
      <c r="B35" s="166" t="s">
        <v>146</v>
      </c>
      <c r="C35" s="151"/>
      <c r="D35" s="141"/>
    </row>
    <row r="36" spans="1:12" s="117" customFormat="1" ht="30" customHeight="1" x14ac:dyDescent="0.5">
      <c r="A36" s="130"/>
      <c r="B36" s="167" t="s">
        <v>147</v>
      </c>
      <c r="C36" s="145">
        <f>1446749+572855+1049855</f>
        <v>3069459</v>
      </c>
      <c r="D36" s="145">
        <f>0.06*C23+497652</f>
        <v>720810.84</v>
      </c>
      <c r="E36" s="138"/>
      <c r="K36" s="286"/>
    </row>
    <row r="37" spans="1:12" s="117" customFormat="1" ht="7.9" customHeight="1" x14ac:dyDescent="0.5">
      <c r="A37" s="130"/>
      <c r="B37" s="168"/>
      <c r="C37" s="169"/>
      <c r="D37" s="170"/>
    </row>
    <row r="38" spans="1:12" s="117" customFormat="1" ht="30" customHeight="1" x14ac:dyDescent="0.5">
      <c r="A38" s="130"/>
      <c r="B38" s="158" t="s">
        <v>148</v>
      </c>
      <c r="C38" s="159">
        <f>C28-C36</f>
        <v>4577245</v>
      </c>
      <c r="D38" s="159">
        <f>D28-D36</f>
        <v>960732.16000000003</v>
      </c>
      <c r="E38" s="138"/>
    </row>
    <row r="39" spans="1:12" s="174" customFormat="1" ht="30" customHeight="1" x14ac:dyDescent="0.5">
      <c r="A39" s="171"/>
      <c r="B39" s="172"/>
      <c r="C39" s="173"/>
      <c r="D39" s="170"/>
      <c r="E39" s="138"/>
    </row>
    <row r="40" spans="1:12" s="113" customFormat="1" ht="30" customHeight="1" x14ac:dyDescent="0.5">
      <c r="A40" s="134"/>
      <c r="B40" s="175" t="s">
        <v>149</v>
      </c>
      <c r="C40" s="176">
        <v>0</v>
      </c>
      <c r="D40" s="141">
        <v>0</v>
      </c>
      <c r="E40" s="138"/>
    </row>
    <row r="41" spans="1:12" s="174" customFormat="1" ht="30" customHeight="1" x14ac:dyDescent="0.5">
      <c r="A41" s="171"/>
      <c r="B41" s="172"/>
      <c r="C41" s="173"/>
      <c r="D41" s="170"/>
      <c r="E41" s="138"/>
    </row>
    <row r="42" spans="1:12" s="117" customFormat="1" ht="30" customHeight="1" thickBot="1" x14ac:dyDescent="0.55000000000000004">
      <c r="A42" s="130"/>
      <c r="B42" s="177" t="s">
        <v>150</v>
      </c>
      <c r="C42" s="178">
        <f>C38+C40</f>
        <v>4577245</v>
      </c>
      <c r="D42" s="178">
        <f>D38+D40</f>
        <v>960732.16000000003</v>
      </c>
      <c r="E42" s="138"/>
      <c r="K42" s="174"/>
    </row>
    <row r="43" spans="1:12" s="117" customFormat="1" ht="30" customHeight="1" thickTop="1" x14ac:dyDescent="0.5">
      <c r="A43" s="130"/>
      <c r="B43" s="179"/>
      <c r="C43" s="180"/>
      <c r="D43" s="181"/>
      <c r="E43" s="138"/>
    </row>
    <row r="44" spans="1:12" s="117" customFormat="1" ht="30" customHeight="1" outlineLevel="1" x14ac:dyDescent="0.5">
      <c r="A44" s="130"/>
      <c r="B44" s="182" t="s">
        <v>151</v>
      </c>
      <c r="C44" s="183"/>
      <c r="D44" s="184"/>
      <c r="E44" s="138"/>
    </row>
    <row r="45" spans="1:12" s="113" customFormat="1" ht="30" customHeight="1" outlineLevel="1" x14ac:dyDescent="0.5">
      <c r="A45" s="134"/>
      <c r="B45" s="185" t="s">
        <v>152</v>
      </c>
      <c r="C45" s="186">
        <f t="shared" ref="C45" si="0">C38/C28</f>
        <v>0.59859058229532625</v>
      </c>
      <c r="D45" s="187">
        <f t="shared" ref="D45" si="1">D38/D28</f>
        <v>0.57133963270638932</v>
      </c>
      <c r="E45" s="138"/>
      <c r="L45" s="138"/>
    </row>
    <row r="46" spans="1:12" s="192" customFormat="1" ht="30" customHeight="1" outlineLevel="1" thickBot="1" x14ac:dyDescent="0.55000000000000004">
      <c r="A46" s="188"/>
      <c r="B46" s="189" t="s">
        <v>153</v>
      </c>
      <c r="C46" s="190">
        <f t="shared" ref="C46" si="2">C42/(C28+C40)</f>
        <v>0.59859058229532625</v>
      </c>
      <c r="D46" s="191">
        <f t="shared" ref="D46" si="3">D42/(D28+D40)</f>
        <v>0.57133963270638932</v>
      </c>
    </row>
    <row r="47" spans="1:12" s="117" customFormat="1" ht="30" customHeight="1" x14ac:dyDescent="0.5">
      <c r="A47" s="114"/>
      <c r="B47" s="193"/>
      <c r="C47" s="193"/>
    </row>
    <row r="48" spans="1:12" s="117" customFormat="1" ht="30" customHeight="1" x14ac:dyDescent="0.5">
      <c r="A48" s="114"/>
      <c r="B48" s="193"/>
      <c r="C48" s="193"/>
    </row>
    <row r="49" spans="2:15" ht="30" customHeight="1" x14ac:dyDescent="0.25"/>
    <row r="50" spans="2:15" ht="30" customHeight="1" x14ac:dyDescent="0.25">
      <c r="J50" s="281"/>
      <c r="M50" s="23"/>
      <c r="N50" s="283"/>
      <c r="O50" s="283"/>
    </row>
    <row r="51" spans="2:15" ht="30" customHeight="1" x14ac:dyDescent="0.25">
      <c r="J51" s="281"/>
      <c r="M51" s="23"/>
      <c r="N51" s="283"/>
      <c r="O51" s="283"/>
    </row>
    <row r="52" spans="2:15" ht="30" customHeight="1" x14ac:dyDescent="0.25">
      <c r="J52" s="281"/>
      <c r="K52" s="282"/>
      <c r="L52" s="282"/>
      <c r="M52" s="23"/>
      <c r="N52" s="283"/>
      <c r="O52" s="283"/>
    </row>
    <row r="53" spans="2:15" ht="30" customHeight="1" x14ac:dyDescent="0.25">
      <c r="J53" s="281"/>
      <c r="K53" s="282"/>
      <c r="L53" s="282"/>
      <c r="M53" s="23"/>
      <c r="N53" s="283"/>
      <c r="O53" s="283"/>
    </row>
    <row r="54" spans="2:15" s="194" customFormat="1" ht="30" customHeight="1" x14ac:dyDescent="0.25">
      <c r="B54" s="195"/>
      <c r="C54" s="195"/>
      <c r="D54" s="22"/>
      <c r="E54" s="22"/>
      <c r="J54" s="281"/>
      <c r="K54" s="282"/>
      <c r="L54" s="282"/>
      <c r="M54" s="23"/>
      <c r="N54" s="283"/>
      <c r="O54" s="283"/>
    </row>
    <row r="55" spans="2:15" s="194" customFormat="1" ht="30" customHeight="1" x14ac:dyDescent="0.25">
      <c r="B55" s="195"/>
      <c r="C55" s="195"/>
      <c r="D55" s="22"/>
      <c r="E55" s="22"/>
      <c r="J55" s="281"/>
      <c r="K55" s="282"/>
      <c r="L55" s="282"/>
      <c r="M55" s="23"/>
      <c r="N55" s="283"/>
      <c r="O55" s="283"/>
    </row>
    <row r="56" spans="2:15" s="194" customFormat="1" ht="30" customHeight="1" x14ac:dyDescent="0.25">
      <c r="B56" s="195"/>
      <c r="C56" s="195"/>
      <c r="D56" s="22"/>
      <c r="E56" s="22"/>
      <c r="J56" s="281"/>
      <c r="K56" s="282"/>
      <c r="L56" s="282"/>
      <c r="M56" s="23"/>
      <c r="N56" s="283"/>
      <c r="O56" s="283"/>
    </row>
    <row r="57" spans="2:15" s="194" customFormat="1" ht="30" customHeight="1" x14ac:dyDescent="0.25">
      <c r="B57" s="195"/>
      <c r="C57" s="195"/>
      <c r="D57" s="22"/>
      <c r="E57" s="22"/>
      <c r="J57" s="281"/>
      <c r="K57" s="282"/>
      <c r="L57" s="282"/>
      <c r="M57" s="23"/>
      <c r="N57" s="283"/>
      <c r="O57" s="283"/>
    </row>
    <row r="58" spans="2:15" s="194" customFormat="1" ht="30" customHeight="1" x14ac:dyDescent="0.25">
      <c r="B58" s="195"/>
      <c r="C58" s="195"/>
      <c r="D58" s="22"/>
      <c r="E58" s="22"/>
      <c r="J58" s="281"/>
      <c r="K58" s="282"/>
      <c r="L58" s="282"/>
      <c r="M58" s="23"/>
      <c r="N58" s="283"/>
      <c r="O58" s="283"/>
    </row>
    <row r="59" spans="2:15" s="194" customFormat="1" ht="30" customHeight="1" x14ac:dyDescent="0.25">
      <c r="B59" s="195"/>
      <c r="C59" s="195"/>
      <c r="D59" s="22"/>
      <c r="E59" s="22"/>
      <c r="K59" s="284"/>
      <c r="O59" s="285"/>
    </row>
    <row r="60" spans="2:15" s="194" customFormat="1" ht="30" customHeight="1" x14ac:dyDescent="0.25">
      <c r="B60" s="195"/>
      <c r="C60" s="195"/>
      <c r="D60" s="22"/>
      <c r="E60" s="22"/>
    </row>
    <row r="61" spans="2:15" s="194" customFormat="1" ht="30" customHeight="1" x14ac:dyDescent="0.25">
      <c r="B61" s="195"/>
      <c r="C61" s="195"/>
      <c r="D61" s="22"/>
      <c r="E61" s="22"/>
    </row>
    <row r="62" spans="2:15" s="194" customFormat="1" ht="30" customHeight="1" x14ac:dyDescent="0.25">
      <c r="B62" s="195"/>
      <c r="C62" s="195"/>
      <c r="D62" s="22"/>
      <c r="E62" s="22"/>
    </row>
    <row r="63" spans="2:15" s="194" customFormat="1" ht="30" customHeight="1" x14ac:dyDescent="0.25">
      <c r="B63" s="195"/>
      <c r="C63" s="195"/>
      <c r="D63" s="22"/>
      <c r="E63" s="22"/>
    </row>
    <row r="64" spans="2:15" s="194" customFormat="1" ht="30" customHeight="1" x14ac:dyDescent="0.25">
      <c r="B64" s="195"/>
      <c r="C64" s="195"/>
      <c r="D64" s="22"/>
      <c r="E64" s="22"/>
    </row>
    <row r="65" spans="1:5" s="194" customFormat="1" ht="30" customHeight="1" x14ac:dyDescent="0.25">
      <c r="B65" s="195"/>
      <c r="C65" s="195"/>
      <c r="D65" s="22"/>
      <c r="E65" s="22"/>
    </row>
    <row r="66" spans="1:5" s="194" customFormat="1" ht="30" customHeight="1" x14ac:dyDescent="0.25">
      <c r="B66" s="195"/>
      <c r="C66" s="195"/>
      <c r="D66" s="22"/>
      <c r="E66" s="22"/>
    </row>
    <row r="67" spans="1:5" s="194" customFormat="1" ht="30" customHeight="1" x14ac:dyDescent="0.25">
      <c r="B67" s="195"/>
      <c r="C67" s="195"/>
      <c r="D67" s="22"/>
      <c r="E67" s="22"/>
    </row>
    <row r="68" spans="1:5" s="194" customFormat="1" ht="30" customHeight="1" x14ac:dyDescent="0.25">
      <c r="B68" s="195"/>
      <c r="C68" s="195"/>
      <c r="D68" s="22"/>
      <c r="E68" s="22"/>
    </row>
    <row r="69" spans="1:5" s="194" customFormat="1" ht="30" customHeight="1" x14ac:dyDescent="0.25">
      <c r="B69" s="195"/>
      <c r="C69" s="195"/>
      <c r="D69" s="22"/>
      <c r="E69" s="22"/>
    </row>
    <row r="70" spans="1:5" ht="30" customHeight="1" x14ac:dyDescent="0.25"/>
    <row r="71" spans="1:5" ht="30" customHeight="1" x14ac:dyDescent="0.25"/>
    <row r="72" spans="1:5" ht="30" customHeight="1" x14ac:dyDescent="0.25"/>
    <row r="73" spans="1:5" ht="30" customHeight="1" x14ac:dyDescent="0.25"/>
    <row r="79" spans="1:5" s="199" customFormat="1" x14ac:dyDescent="0.25">
      <c r="A79" s="196"/>
      <c r="B79" s="197" t="s">
        <v>154</v>
      </c>
      <c r="C79" s="197"/>
      <c r="D79" s="198"/>
    </row>
    <row r="80" spans="1:5" x14ac:dyDescent="0.25">
      <c r="B80" s="200"/>
      <c r="C80" s="200"/>
      <c r="D80" s="199"/>
    </row>
  </sheetData>
  <mergeCells count="5">
    <mergeCell ref="B7:D7"/>
    <mergeCell ref="B10:D10"/>
    <mergeCell ref="B3:D3"/>
    <mergeCell ref="B2:D2"/>
    <mergeCell ref="B4:D4"/>
  </mergeCells>
  <pageMargins left="0.45" right="0.45" top="0.25" bottom="0.5" header="0.3" footer="0.3"/>
  <pageSetup scale="59"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theme="7"/>
  </sheetPr>
  <dimension ref="B1:F23"/>
  <sheetViews>
    <sheetView showGridLines="0" workbookViewId="0">
      <selection activeCell="E12" sqref="E12"/>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05" customFormat="1" x14ac:dyDescent="0.25">
      <c r="B1" s="106"/>
      <c r="C1" s="106"/>
      <c r="D1" s="106"/>
      <c r="E1" s="106"/>
      <c r="F1" s="106"/>
    </row>
    <row r="2" spans="2:6" ht="15.75" x14ac:dyDescent="0.25">
      <c r="B2" s="385" t="s">
        <v>155</v>
      </c>
      <c r="C2" s="385"/>
      <c r="D2" s="385"/>
      <c r="E2" s="385"/>
      <c r="F2" s="385"/>
    </row>
    <row r="3" spans="2:6" ht="18.75" x14ac:dyDescent="0.3">
      <c r="B3" s="386" t="s">
        <v>2</v>
      </c>
      <c r="C3" s="387"/>
      <c r="D3" s="387"/>
      <c r="E3" s="387"/>
      <c r="F3" s="388"/>
    </row>
    <row r="4" spans="2:6" ht="18.75" x14ac:dyDescent="0.3">
      <c r="B4" s="359" t="s">
        <v>156</v>
      </c>
      <c r="C4" s="360"/>
      <c r="D4" s="360"/>
      <c r="E4" s="360"/>
      <c r="F4" s="361"/>
    </row>
    <row r="5" spans="2:6" ht="15.75" x14ac:dyDescent="0.25">
      <c r="B5" s="31"/>
      <c r="C5" s="31"/>
      <c r="D5" s="31"/>
      <c r="E5" s="31"/>
      <c r="F5" s="31"/>
    </row>
    <row r="6" spans="2:6" ht="28.5" customHeight="1" x14ac:dyDescent="0.25">
      <c r="B6" s="384" t="s">
        <v>157</v>
      </c>
      <c r="C6" s="384"/>
      <c r="D6" s="384"/>
      <c r="E6" s="384"/>
      <c r="F6" s="384"/>
    </row>
    <row r="7" spans="2:6" ht="15.75" x14ac:dyDescent="0.25">
      <c r="B7" s="31"/>
      <c r="C7" s="31"/>
      <c r="D7" s="31"/>
      <c r="E7" s="31"/>
      <c r="F7" s="31"/>
    </row>
    <row r="8" spans="2:6" ht="48" customHeight="1" x14ac:dyDescent="0.25">
      <c r="B8" s="32" t="s">
        <v>158</v>
      </c>
      <c r="C8" s="33" t="s">
        <v>159</v>
      </c>
      <c r="D8" s="33" t="s">
        <v>160</v>
      </c>
      <c r="E8" s="33" t="s">
        <v>161</v>
      </c>
      <c r="F8" s="34" t="s">
        <v>162</v>
      </c>
    </row>
    <row r="9" spans="2:6" ht="25.5" customHeight="1" x14ac:dyDescent="0.25">
      <c r="B9" s="35"/>
      <c r="C9" s="36" t="s">
        <v>163</v>
      </c>
      <c r="D9" s="36" t="s">
        <v>164</v>
      </c>
      <c r="E9" s="36" t="s">
        <v>164</v>
      </c>
      <c r="F9" s="37" t="s">
        <v>165</v>
      </c>
    </row>
    <row r="10" spans="2:6" ht="24" customHeight="1" x14ac:dyDescent="0.25">
      <c r="B10" s="38" t="s">
        <v>166</v>
      </c>
      <c r="C10" s="39" t="s">
        <v>248</v>
      </c>
      <c r="D10" s="287">
        <f>7599+2285</f>
        <v>9884</v>
      </c>
      <c r="E10" s="287">
        <f>1588098+7860483+2288336</f>
        <v>11736917</v>
      </c>
      <c r="F10" s="288">
        <f>615179+104583</f>
        <v>719762</v>
      </c>
    </row>
    <row r="11" spans="2:6" ht="15.75" x14ac:dyDescent="0.25">
      <c r="B11" s="38" t="s">
        <v>167</v>
      </c>
      <c r="C11" s="39" t="s">
        <v>248</v>
      </c>
      <c r="D11" s="287">
        <v>5772</v>
      </c>
      <c r="E11" s="287">
        <f>8792768+1690165</f>
        <v>10482933</v>
      </c>
      <c r="F11" s="288">
        <f>2080400-38823</f>
        <v>2041577</v>
      </c>
    </row>
    <row r="12" spans="2:6" ht="15.75" x14ac:dyDescent="0.25">
      <c r="B12" s="38" t="s">
        <v>239</v>
      </c>
      <c r="C12" s="39" t="s">
        <v>248</v>
      </c>
      <c r="D12" s="287">
        <f>1084+846+2411+3337</f>
        <v>7678</v>
      </c>
      <c r="E12" s="287">
        <v>257722</v>
      </c>
      <c r="F12" s="288">
        <f>264129+474532</f>
        <v>738661</v>
      </c>
    </row>
    <row r="13" spans="2:6" ht="15.75" x14ac:dyDescent="0.25">
      <c r="B13" s="38" t="s">
        <v>168</v>
      </c>
      <c r="C13" s="39" t="s">
        <v>249</v>
      </c>
      <c r="D13" s="287">
        <v>0</v>
      </c>
      <c r="E13" s="287">
        <v>0</v>
      </c>
      <c r="F13" s="288">
        <v>0</v>
      </c>
    </row>
    <row r="14" spans="2:6" ht="15.75" x14ac:dyDescent="0.25">
      <c r="B14" s="38" t="s">
        <v>169</v>
      </c>
      <c r="C14" s="40"/>
      <c r="D14" s="287">
        <f>SUM(D10:D13)</f>
        <v>23334</v>
      </c>
      <c r="E14" s="287">
        <f t="shared" ref="E14:F14" si="0">SUM(E10:E13)</f>
        <v>22477572</v>
      </c>
      <c r="F14" s="287">
        <f t="shared" si="0"/>
        <v>3500000</v>
      </c>
    </row>
    <row r="15" spans="2:6" ht="15.75" x14ac:dyDescent="0.25">
      <c r="B15" s="31"/>
    </row>
    <row r="16" spans="2:6" ht="15.75" x14ac:dyDescent="0.25">
      <c r="B16" s="42"/>
      <c r="E16" s="43"/>
    </row>
    <row r="23" spans="5:5" ht="31.5" x14ac:dyDescent="0.5">
      <c r="E23" s="113"/>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theme="7"/>
    <pageSetUpPr fitToPage="1"/>
  </sheetPr>
  <dimension ref="B2:K24"/>
  <sheetViews>
    <sheetView showGridLines="0" zoomScale="94" zoomScaleNormal="100" zoomScaleSheetLayoutView="55" workbookViewId="0">
      <selection activeCell="C25" sqref="C25"/>
    </sheetView>
  </sheetViews>
  <sheetFormatPr defaultColWidth="9.140625" defaultRowHeight="15" customHeight="1" x14ac:dyDescent="0.25"/>
  <cols>
    <col min="1" max="1" width="3.5703125" style="103" customWidth="1"/>
    <col min="2" max="2" width="39.7109375" style="103" customWidth="1"/>
    <col min="3" max="3" width="24" style="103" customWidth="1"/>
    <col min="4" max="11" width="22.7109375" style="103" customWidth="1"/>
    <col min="12" max="16384" width="9.140625" style="103"/>
  </cols>
  <sheetData>
    <row r="2" spans="2:11" s="1" customFormat="1" ht="15.75" x14ac:dyDescent="0.25">
      <c r="B2" s="385" t="s">
        <v>170</v>
      </c>
      <c r="C2" s="385"/>
      <c r="D2" s="385"/>
      <c r="E2" s="385"/>
      <c r="F2" s="385"/>
      <c r="G2" s="385"/>
      <c r="H2" s="385"/>
      <c r="I2" s="385"/>
      <c r="J2" s="385"/>
      <c r="K2" s="385"/>
    </row>
    <row r="3" spans="2:11" s="1" customFormat="1" ht="18.75" x14ac:dyDescent="0.3">
      <c r="B3" s="386" t="s">
        <v>171</v>
      </c>
      <c r="C3" s="387"/>
      <c r="D3" s="387"/>
      <c r="E3" s="387"/>
      <c r="F3" s="387"/>
      <c r="G3" s="387"/>
      <c r="H3" s="387"/>
      <c r="I3" s="387"/>
      <c r="J3" s="387"/>
      <c r="K3" s="388"/>
    </row>
    <row r="4" spans="2:11" s="1" customFormat="1" ht="18.75" x14ac:dyDescent="0.3">
      <c r="B4" s="359" t="s">
        <v>172</v>
      </c>
      <c r="C4" s="360"/>
      <c r="D4" s="360"/>
      <c r="E4" s="360"/>
      <c r="F4" s="360"/>
      <c r="G4" s="360"/>
      <c r="H4" s="360"/>
      <c r="I4" s="360"/>
      <c r="J4" s="360"/>
      <c r="K4" s="361"/>
    </row>
    <row r="5" spans="2:11" s="105" customFormat="1" ht="18.75" x14ac:dyDescent="0.3">
      <c r="B5" s="241"/>
      <c r="C5" s="241"/>
      <c r="D5" s="241"/>
      <c r="E5" s="241"/>
      <c r="F5" s="241"/>
      <c r="G5" s="241"/>
      <c r="H5" s="241"/>
      <c r="I5" s="241"/>
      <c r="J5" s="241"/>
      <c r="K5" s="241"/>
    </row>
    <row r="6" spans="2:11" s="105" customFormat="1" ht="18.75" customHeight="1" x14ac:dyDescent="0.25">
      <c r="B6" s="391" t="s">
        <v>246</v>
      </c>
      <c r="C6" s="391"/>
      <c r="D6" s="391"/>
      <c r="E6" s="391"/>
      <c r="F6" s="391"/>
      <c r="G6" s="391"/>
      <c r="H6" s="391"/>
      <c r="I6" s="391"/>
      <c r="J6" s="391"/>
      <c r="K6" s="391"/>
    </row>
    <row r="7" spans="2:11" s="105" customFormat="1" ht="18.75" customHeight="1" x14ac:dyDescent="0.25">
      <c r="B7" s="391"/>
      <c r="C7" s="391"/>
      <c r="D7" s="391"/>
      <c r="E7" s="391"/>
      <c r="F7" s="391"/>
      <c r="G7" s="391"/>
      <c r="H7" s="391"/>
      <c r="I7" s="391"/>
      <c r="J7" s="391"/>
      <c r="K7" s="391"/>
    </row>
    <row r="8" spans="2:11" s="105" customFormat="1" ht="18.75" x14ac:dyDescent="0.3">
      <c r="B8" s="104"/>
      <c r="C8" s="104"/>
      <c r="D8" s="104"/>
      <c r="E8" s="104"/>
      <c r="F8" s="104"/>
      <c r="G8" s="104"/>
      <c r="H8" s="104"/>
    </row>
    <row r="9" spans="2:11" s="246" customFormat="1" x14ac:dyDescent="0.25">
      <c r="B9" s="247"/>
      <c r="D9" s="247"/>
      <c r="E9" s="247"/>
      <c r="F9" s="247"/>
      <c r="G9" s="247"/>
      <c r="H9" s="247"/>
      <c r="I9" s="248"/>
      <c r="J9" s="248"/>
      <c r="K9" s="248"/>
    </row>
    <row r="10" spans="2:11" s="240" customFormat="1" ht="15" customHeight="1" x14ac:dyDescent="0.25">
      <c r="B10" s="389" t="s">
        <v>173</v>
      </c>
      <c r="C10" s="256" t="s">
        <v>174</v>
      </c>
      <c r="D10" s="304" t="s">
        <v>174</v>
      </c>
      <c r="E10" s="252" t="s">
        <v>175</v>
      </c>
      <c r="F10" s="253" t="s">
        <v>176</v>
      </c>
      <c r="G10" s="304" t="s">
        <v>174</v>
      </c>
      <c r="H10" s="252" t="s">
        <v>175</v>
      </c>
      <c r="I10" s="253" t="s">
        <v>176</v>
      </c>
      <c r="J10" s="252" t="s">
        <v>175</v>
      </c>
      <c r="K10" s="253" t="s">
        <v>176</v>
      </c>
    </row>
    <row r="11" spans="2:11" s="240" customFormat="1" ht="15" customHeight="1" x14ac:dyDescent="0.25">
      <c r="B11" s="390"/>
      <c r="C11" s="255" t="s">
        <v>217</v>
      </c>
      <c r="D11" s="392" t="s">
        <v>177</v>
      </c>
      <c r="E11" s="393"/>
      <c r="F11" s="394"/>
      <c r="G11" s="392" t="s">
        <v>178</v>
      </c>
      <c r="H11" s="393"/>
      <c r="I11" s="394"/>
      <c r="J11" s="393" t="s">
        <v>179</v>
      </c>
      <c r="K11" s="394"/>
    </row>
    <row r="12" spans="2:11" ht="15" customHeight="1" x14ac:dyDescent="0.25">
      <c r="B12" s="249" t="s">
        <v>180</v>
      </c>
      <c r="C12" s="254">
        <f>+D12+G12</f>
        <v>12178356</v>
      </c>
      <c r="D12" s="305">
        <v>12178356</v>
      </c>
      <c r="E12" s="305">
        <v>8925818</v>
      </c>
      <c r="F12" s="306">
        <v>0</v>
      </c>
      <c r="G12" s="305">
        <v>0</v>
      </c>
      <c r="H12" s="277">
        <v>3653507</v>
      </c>
      <c r="I12" s="306">
        <v>0</v>
      </c>
      <c r="J12" s="305"/>
      <c r="K12" s="306"/>
    </row>
    <row r="13" spans="2:11" ht="15" customHeight="1" x14ac:dyDescent="0.25">
      <c r="B13" s="249" t="s">
        <v>181</v>
      </c>
      <c r="C13" s="254">
        <f>+D13+G13</f>
        <v>2900000</v>
      </c>
      <c r="D13" s="305">
        <v>2900000</v>
      </c>
      <c r="E13" s="305">
        <v>0</v>
      </c>
      <c r="F13" s="306">
        <v>2900000</v>
      </c>
      <c r="G13" s="277">
        <v>0</v>
      </c>
      <c r="H13" s="277">
        <v>0</v>
      </c>
      <c r="I13" s="306">
        <v>0</v>
      </c>
      <c r="J13" s="305"/>
      <c r="K13" s="306"/>
    </row>
    <row r="14" spans="2:11" ht="15" customHeight="1" x14ac:dyDescent="0.25">
      <c r="B14" s="249" t="s">
        <v>182</v>
      </c>
      <c r="C14" s="254">
        <f t="shared" ref="C14:C22" si="0">+D14+G14</f>
        <v>2975196</v>
      </c>
      <c r="D14" s="305">
        <v>2975196</v>
      </c>
      <c r="E14" s="305">
        <v>0</v>
      </c>
      <c r="F14" s="306">
        <v>2975196</v>
      </c>
      <c r="G14" s="277">
        <v>0</v>
      </c>
      <c r="H14" s="277">
        <v>0</v>
      </c>
      <c r="I14" s="306">
        <v>0</v>
      </c>
      <c r="J14" s="305"/>
      <c r="K14" s="306"/>
    </row>
    <row r="15" spans="2:11" ht="15" customHeight="1" x14ac:dyDescent="0.25">
      <c r="B15" s="249" t="s">
        <v>183</v>
      </c>
      <c r="C15" s="254">
        <f t="shared" si="0"/>
        <v>5229322</v>
      </c>
      <c r="D15" s="277">
        <v>5229322</v>
      </c>
      <c r="E15" s="277">
        <v>5229322</v>
      </c>
      <c r="F15" s="306">
        <v>0</v>
      </c>
      <c r="G15" s="277">
        <v>0</v>
      </c>
      <c r="H15" s="277">
        <v>0</v>
      </c>
      <c r="I15" s="306">
        <v>0</v>
      </c>
      <c r="J15" s="305"/>
      <c r="K15" s="306"/>
    </row>
    <row r="16" spans="2:11" ht="15" customHeight="1" x14ac:dyDescent="0.25">
      <c r="B16" s="249" t="s">
        <v>184</v>
      </c>
      <c r="C16" s="254">
        <f t="shared" si="0"/>
        <v>0</v>
      </c>
      <c r="D16" s="305">
        <v>0</v>
      </c>
      <c r="E16" s="305">
        <v>0</v>
      </c>
      <c r="F16" s="306">
        <v>0</v>
      </c>
      <c r="G16" s="277">
        <v>0</v>
      </c>
      <c r="H16" s="277">
        <v>0</v>
      </c>
      <c r="I16" s="306">
        <v>0</v>
      </c>
      <c r="J16" s="305"/>
      <c r="K16" s="306"/>
    </row>
    <row r="17" spans="2:11" ht="15" customHeight="1" x14ac:dyDescent="0.25">
      <c r="B17" s="249" t="s">
        <v>185</v>
      </c>
      <c r="C17" s="254">
        <f t="shared" si="0"/>
        <v>260400</v>
      </c>
      <c r="D17" s="277">
        <v>260400</v>
      </c>
      <c r="E17" s="277">
        <v>260400</v>
      </c>
      <c r="F17" s="306">
        <v>0</v>
      </c>
      <c r="G17" s="277">
        <v>0</v>
      </c>
      <c r="H17" s="277">
        <v>0</v>
      </c>
      <c r="I17" s="306">
        <v>0</v>
      </c>
      <c r="J17" s="305"/>
      <c r="K17" s="306"/>
    </row>
    <row r="18" spans="2:11" ht="15" customHeight="1" x14ac:dyDescent="0.25">
      <c r="B18" s="249" t="s">
        <v>186</v>
      </c>
      <c r="C18" s="254">
        <f t="shared" si="0"/>
        <v>241013</v>
      </c>
      <c r="D18" s="305">
        <v>241013</v>
      </c>
      <c r="E18" s="305">
        <v>241013</v>
      </c>
      <c r="F18" s="306">
        <v>0</v>
      </c>
      <c r="G18" s="277">
        <v>0</v>
      </c>
      <c r="H18" s="277">
        <v>0</v>
      </c>
      <c r="I18" s="306">
        <v>0</v>
      </c>
      <c r="J18" s="305"/>
      <c r="K18" s="306"/>
    </row>
    <row r="19" spans="2:11" ht="15" customHeight="1" x14ac:dyDescent="0.25">
      <c r="B19" s="249" t="s">
        <v>187</v>
      </c>
      <c r="C19" s="254">
        <f t="shared" si="0"/>
        <v>0</v>
      </c>
      <c r="D19" s="305">
        <v>0</v>
      </c>
      <c r="E19" s="305">
        <v>0</v>
      </c>
      <c r="F19" s="306">
        <v>0</v>
      </c>
      <c r="G19" s="277">
        <v>0</v>
      </c>
      <c r="H19" s="277">
        <v>0</v>
      </c>
      <c r="I19" s="306">
        <v>0</v>
      </c>
      <c r="J19" s="305"/>
      <c r="K19" s="306"/>
    </row>
    <row r="20" spans="2:11" ht="15" customHeight="1" x14ac:dyDescent="0.25">
      <c r="B20" s="249" t="s">
        <v>218</v>
      </c>
      <c r="C20" s="254">
        <f t="shared" si="0"/>
        <v>0</v>
      </c>
      <c r="D20" s="305">
        <v>0</v>
      </c>
      <c r="E20" s="305">
        <v>0</v>
      </c>
      <c r="F20" s="306">
        <v>0</v>
      </c>
      <c r="G20" s="277">
        <v>0</v>
      </c>
      <c r="H20" s="277">
        <v>0</v>
      </c>
      <c r="I20" s="306">
        <v>0</v>
      </c>
      <c r="J20" s="305"/>
      <c r="K20" s="306"/>
    </row>
    <row r="21" spans="2:11" ht="15" customHeight="1" x14ac:dyDescent="0.25">
      <c r="B21" s="249" t="s">
        <v>266</v>
      </c>
      <c r="C21" s="254">
        <f t="shared" si="0"/>
        <v>228336</v>
      </c>
      <c r="D21" s="277">
        <v>0</v>
      </c>
      <c r="E21" s="277">
        <v>0</v>
      </c>
      <c r="F21" s="306">
        <v>0</v>
      </c>
      <c r="G21" s="277">
        <v>228336</v>
      </c>
      <c r="H21" s="277">
        <v>228336</v>
      </c>
      <c r="I21" s="306">
        <v>0</v>
      </c>
      <c r="J21" s="305"/>
      <c r="K21" s="306"/>
    </row>
    <row r="22" spans="2:11" ht="15" customHeight="1" x14ac:dyDescent="0.25">
      <c r="B22" s="250" t="s">
        <v>267</v>
      </c>
      <c r="C22" s="254">
        <f t="shared" si="0"/>
        <v>85289</v>
      </c>
      <c r="D22" s="307">
        <v>36742</v>
      </c>
      <c r="E22" s="307">
        <v>36742</v>
      </c>
      <c r="F22" s="308">
        <v>0</v>
      </c>
      <c r="G22" s="307">
        <v>48547</v>
      </c>
      <c r="H22" s="307">
        <v>48547</v>
      </c>
      <c r="I22" s="308">
        <v>0</v>
      </c>
      <c r="J22" s="307"/>
      <c r="K22" s="308"/>
    </row>
    <row r="23" spans="2:11" ht="15" customHeight="1" thickBot="1" x14ac:dyDescent="0.3">
      <c r="B23" s="251" t="s">
        <v>188</v>
      </c>
      <c r="C23" s="309">
        <f>SUM(C12:C22)</f>
        <v>24097912</v>
      </c>
      <c r="D23" s="310">
        <f t="shared" ref="D23:K23" si="1">SUM(D12:D22)</f>
        <v>23821029</v>
      </c>
      <c r="E23" s="311">
        <f>SUM(E12:E22)</f>
        <v>14693295</v>
      </c>
      <c r="F23" s="312">
        <f t="shared" si="1"/>
        <v>5875196</v>
      </c>
      <c r="G23" s="310">
        <f t="shared" si="1"/>
        <v>276883</v>
      </c>
      <c r="H23" s="311">
        <f t="shared" si="1"/>
        <v>3930390</v>
      </c>
      <c r="I23" s="312">
        <f t="shared" si="1"/>
        <v>0</v>
      </c>
      <c r="J23" s="311">
        <f t="shared" si="1"/>
        <v>0</v>
      </c>
      <c r="K23" s="312">
        <f t="shared" si="1"/>
        <v>0</v>
      </c>
    </row>
    <row r="24" spans="2:11" ht="15" customHeight="1" thickTop="1" x14ac:dyDescent="0.25"/>
  </sheetData>
  <mergeCells count="8">
    <mergeCell ref="B4:K4"/>
    <mergeCell ref="B3:K3"/>
    <mergeCell ref="B2:K2"/>
    <mergeCell ref="B10:B11"/>
    <mergeCell ref="B6:K7"/>
    <mergeCell ref="D11:F11"/>
    <mergeCell ref="G11:I11"/>
    <mergeCell ref="J11:K11"/>
  </mergeCells>
  <pageMargins left="0.7" right="0.7" top="0.75" bottom="0.75" header="0.3" footer="0.3"/>
  <pageSetup scale="44"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zoomScale="110" zoomScaleNormal="110" workbookViewId="0">
      <selection activeCell="A20" sqref="A20"/>
    </sheetView>
  </sheetViews>
  <sheetFormatPr defaultRowHeight="15" x14ac:dyDescent="0.25"/>
  <cols>
    <col min="1" max="1" width="42.7109375" style="66" customWidth="1"/>
    <col min="2" max="2" width="13.85546875" style="66" customWidth="1"/>
  </cols>
  <sheetData>
    <row r="2" spans="1:2" x14ac:dyDescent="0.25">
      <c r="A2" s="395" t="s">
        <v>189</v>
      </c>
      <c r="B2" s="395"/>
    </row>
    <row r="3" spans="1:2" ht="15.75" x14ac:dyDescent="0.25">
      <c r="A3" s="396" t="s">
        <v>190</v>
      </c>
      <c r="B3" s="396"/>
    </row>
    <row r="4" spans="1:2" ht="24.6" customHeight="1" x14ac:dyDescent="0.25">
      <c r="A4" s="397" t="s">
        <v>191</v>
      </c>
      <c r="B4" s="397"/>
    </row>
    <row r="5" spans="1:2" x14ac:dyDescent="0.25">
      <c r="A5" s="67" t="s">
        <v>192</v>
      </c>
      <c r="B5" s="68">
        <f>'1. Reconciliation'!C23</f>
        <v>115925533</v>
      </c>
    </row>
    <row r="6" spans="1:2" x14ac:dyDescent="0.25">
      <c r="A6" s="67" t="s">
        <v>193</v>
      </c>
      <c r="B6" s="69">
        <f>'1. Reconciliation'!C26</f>
        <v>3.4904173313464577E-2</v>
      </c>
    </row>
    <row r="7" spans="1:2" x14ac:dyDescent="0.25">
      <c r="A7" s="67" t="s">
        <v>194</v>
      </c>
      <c r="B7" s="69">
        <f>'1. Reconciliation'!C85</f>
        <v>3.721862344385297E-3</v>
      </c>
    </row>
    <row r="8" spans="1:2" x14ac:dyDescent="0.25">
      <c r="A8" s="70"/>
      <c r="B8" s="71"/>
    </row>
    <row r="9" spans="1:2" x14ac:dyDescent="0.25">
      <c r="A9" s="72" t="s">
        <v>195</v>
      </c>
      <c r="B9" s="73"/>
    </row>
    <row r="10" spans="1:2" ht="39.6" customHeight="1" x14ac:dyDescent="0.25">
      <c r="A10" s="67" t="s">
        <v>23</v>
      </c>
      <c r="B10" s="74" t="e">
        <f>'1. Reconciliation'!#REF!</f>
        <v>#REF!</v>
      </c>
    </row>
    <row r="11" spans="1:2" x14ac:dyDescent="0.25">
      <c r="A11" s="67" t="s">
        <v>24</v>
      </c>
      <c r="B11" s="74" t="e">
        <f>'1. Reconciliation'!#REF!</f>
        <v>#REF!</v>
      </c>
    </row>
    <row r="12" spans="1:2" x14ac:dyDescent="0.25">
      <c r="A12" s="67" t="s">
        <v>25</v>
      </c>
      <c r="B12" s="74" t="e">
        <f>'1. Reconciliation'!#REF!</f>
        <v>#REF!</v>
      </c>
    </row>
    <row r="13" spans="1:2" x14ac:dyDescent="0.25">
      <c r="A13" s="67" t="s">
        <v>26</v>
      </c>
      <c r="B13" s="74" t="e">
        <f>'1. Reconciliation'!#REF!</f>
        <v>#REF!</v>
      </c>
    </row>
    <row r="14" spans="1:2" ht="44.45" customHeight="1" x14ac:dyDescent="0.25">
      <c r="A14" s="67" t="s">
        <v>27</v>
      </c>
      <c r="B14" s="74" t="e">
        <f>'1. Reconciliation'!#REF!</f>
        <v>#REF!</v>
      </c>
    </row>
    <row r="15" spans="1:2" x14ac:dyDescent="0.25">
      <c r="A15" s="75" t="s">
        <v>196</v>
      </c>
      <c r="B15" s="76"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DD72E-62BB-4083-B4E4-70A11D422880}">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8dbc17e-cec9-4211-a89f-0bf74a616302"/>
    <ds:schemaRef ds:uri="2819d22d-c924-42b3-954a-d3b43813cc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2021-03-15T17:17:47Z</cp:lastPrinted>
  <dcterms:created xsi:type="dcterms:W3CDTF">2020-01-09T18:52:12Z</dcterms:created>
  <dcterms:modified xsi:type="dcterms:W3CDTF">2021-07-09T20:48:47Z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