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rv-store01\AFO\GMCB Reports\FY23\"/>
    </mc:Choice>
  </mc:AlternateContent>
  <xr:revisionPtr revIDLastSave="0" documentId="13_ncr:1_{4BC36AEF-F76B-4133-B2FA-14E5F835C077}" xr6:coauthVersionLast="47" xr6:coauthVersionMax="47" xr10:uidLastSave="{00000000-0000-0000-0000-000000000000}"/>
  <bookViews>
    <workbookView xWindow="-120" yWindow="-120" windowWidth="25440" windowHeight="13725"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Reconciliation'!$B$6:$O$103</definedName>
    <definedName name="_xlnm.Print_Area" localSheetId="2">'2. Charge and NPR Detail'!$A$2:$H$69</definedName>
    <definedName name="_xlnm.Print_Area" localSheetId="3">'3. Utilization'!$B$1:$D$22</definedName>
    <definedName name="_xlnm.Print_Area" localSheetId="4">'4. Inflation'!$B$1:$D$19</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5" l="1"/>
  <c r="D94" i="15"/>
  <c r="D95" i="15"/>
  <c r="D96" i="15"/>
  <c r="D15" i="16"/>
  <c r="D60" i="15" l="1"/>
  <c r="C98" i="15" l="1"/>
  <c r="F60" i="15" l="1"/>
  <c r="F72" i="15"/>
  <c r="I23" i="20" l="1"/>
  <c r="H23" i="20"/>
  <c r="G23" i="20"/>
  <c r="F23" i="20"/>
  <c r="E23" i="20"/>
  <c r="D23" i="20"/>
  <c r="C22" i="20"/>
  <c r="C21" i="20"/>
  <c r="C20" i="20"/>
  <c r="C19" i="20"/>
  <c r="C18" i="20"/>
  <c r="C17" i="20"/>
  <c r="C14" i="20"/>
  <c r="C13" i="20"/>
  <c r="C12" i="20"/>
  <c r="C23" i="20" s="1"/>
  <c r="E72" i="15"/>
  <c r="D72" i="15"/>
  <c r="G72" i="15"/>
  <c r="H72" i="15"/>
  <c r="D47" i="15"/>
  <c r="D45" i="15"/>
  <c r="C33" i="15" l="1"/>
  <c r="C48" i="15" l="1"/>
  <c r="D33" i="15"/>
  <c r="D58" i="13"/>
  <c r="F11" i="15"/>
  <c r="C54" i="13"/>
  <c r="C43" i="13"/>
  <c r="C11" i="15"/>
  <c r="F16" i="8" l="1"/>
  <c r="D16" i="8"/>
  <c r="E7" i="16" l="1"/>
  <c r="E11" i="16"/>
  <c r="E10" i="16"/>
  <c r="E9" i="16"/>
  <c r="E8" i="16"/>
  <c r="H54" i="13" l="1"/>
  <c r="H53" i="13"/>
  <c r="H52" i="13"/>
  <c r="J54" i="13"/>
  <c r="I54" i="13"/>
  <c r="F54" i="13"/>
  <c r="J53" i="13"/>
  <c r="I53" i="13"/>
  <c r="F53" i="13"/>
  <c r="J52" i="13"/>
  <c r="I52" i="13"/>
  <c r="F52" i="13"/>
  <c r="D57" i="13"/>
  <c r="D56" i="13"/>
  <c r="D55" i="13"/>
  <c r="D54" i="13"/>
  <c r="D53" i="13"/>
  <c r="D52" i="13"/>
  <c r="G84" i="13"/>
  <c r="D68" i="13"/>
  <c r="D67" i="13"/>
  <c r="D66" i="13"/>
  <c r="D65" i="13"/>
  <c r="D64" i="13"/>
  <c r="E68" i="13"/>
  <c r="E54" i="13"/>
  <c r="E53" i="13"/>
  <c r="E52" i="13"/>
  <c r="C53" i="13" l="1"/>
  <c r="C52" i="13"/>
  <c r="C56" i="13" l="1"/>
  <c r="J41" i="13" l="1"/>
  <c r="F43" i="13"/>
  <c r="F42" i="13"/>
  <c r="F41" i="13"/>
  <c r="E42" i="13"/>
  <c r="E41" i="13"/>
  <c r="C41" i="13"/>
  <c r="E15" i="16" l="1"/>
  <c r="E35" i="13"/>
  <c r="C35" i="13"/>
  <c r="E25" i="13"/>
  <c r="C25" i="13"/>
  <c r="D41" i="15"/>
  <c r="E15" i="13" l="1"/>
  <c r="D32" i="15"/>
  <c r="G74" i="15"/>
  <c r="G75" i="15" s="1"/>
  <c r="G23" i="15"/>
  <c r="C63" i="15"/>
  <c r="C62" i="15"/>
  <c r="C61" i="15"/>
  <c r="C13" i="15"/>
  <c r="C12" i="15"/>
  <c r="B10" i="4" s="1"/>
  <c r="F74" i="15"/>
  <c r="F75" i="15" s="1"/>
  <c r="F23" i="15"/>
  <c r="C19" i="15"/>
  <c r="C17" i="15"/>
  <c r="B13" i="4" s="1"/>
  <c r="C16" i="15"/>
  <c r="C15" i="15"/>
  <c r="C14" i="15"/>
  <c r="B11" i="4" s="1"/>
  <c r="K23" i="20"/>
  <c r="J23" i="20"/>
  <c r="F14" i="16"/>
  <c r="F13" i="16"/>
  <c r="F12" i="16"/>
  <c r="F11" i="16"/>
  <c r="F10" i="16"/>
  <c r="F9" i="16"/>
  <c r="F8" i="16"/>
  <c r="F7" i="16"/>
  <c r="D41" i="13"/>
  <c r="D69" i="13"/>
  <c r="C69" i="13"/>
  <c r="C59" i="13"/>
  <c r="C73" i="13" s="1"/>
  <c r="D59" i="13"/>
  <c r="D73" i="13" s="1"/>
  <c r="C15" i="13"/>
  <c r="H69" i="13"/>
  <c r="G69" i="13"/>
  <c r="F69" i="13"/>
  <c r="J59" i="13"/>
  <c r="I59" i="13"/>
  <c r="H59" i="13"/>
  <c r="G59" i="13"/>
  <c r="F59" i="13"/>
  <c r="E59" i="13"/>
  <c r="J45" i="13"/>
  <c r="I45" i="13"/>
  <c r="H45" i="13"/>
  <c r="G45" i="13"/>
  <c r="F45" i="13"/>
  <c r="C45" i="13"/>
  <c r="E44" i="13"/>
  <c r="E45" i="13" s="1"/>
  <c r="D43" i="13"/>
  <c r="D42" i="13"/>
  <c r="D91" i="15"/>
  <c r="D90" i="15"/>
  <c r="D93" i="15"/>
  <c r="D43" i="15"/>
  <c r="D42" i="15"/>
  <c r="G25" i="15" l="1"/>
  <c r="G26" i="15" s="1"/>
  <c r="B12" i="4"/>
  <c r="F25" i="15"/>
  <c r="F26" i="15" s="1"/>
  <c r="F15" i="16"/>
  <c r="C100" i="15"/>
  <c r="C101" i="15" s="1"/>
  <c r="E69" i="13"/>
  <c r="F73" i="13" s="1"/>
  <c r="D21" i="7"/>
  <c r="C24" i="7"/>
  <c r="D23" i="7"/>
  <c r="D89" i="15"/>
  <c r="D92" i="15"/>
  <c r="D97" i="15"/>
  <c r="D40" i="15"/>
  <c r="D46" i="15"/>
  <c r="D44" i="15"/>
  <c r="D39" i="15"/>
  <c r="H74" i="15"/>
  <c r="H75" i="15" s="1"/>
  <c r="E74" i="15"/>
  <c r="E75" i="15" s="1"/>
  <c r="D74" i="15"/>
  <c r="D75" i="15" s="1"/>
  <c r="C71" i="15"/>
  <c r="C70" i="15"/>
  <c r="C69" i="15"/>
  <c r="C68" i="15"/>
  <c r="C67" i="15"/>
  <c r="C66" i="15"/>
  <c r="C65" i="15"/>
  <c r="C64" i="15"/>
  <c r="C60" i="15"/>
  <c r="E23" i="15"/>
  <c r="H23" i="15"/>
  <c r="H25" i="15" s="1"/>
  <c r="H26" i="15" s="1"/>
  <c r="C20" i="15"/>
  <c r="C21" i="15"/>
  <c r="C22" i="15"/>
  <c r="C74" i="13"/>
  <c r="E25" i="15" l="1"/>
  <c r="E26" i="15" s="1"/>
  <c r="C75" i="13"/>
  <c r="E73" i="13"/>
  <c r="C72" i="15"/>
  <c r="C74" i="15" l="1"/>
  <c r="C75" i="15" l="1"/>
  <c r="B7" i="4" s="1"/>
  <c r="D88" i="15"/>
  <c r="D87" i="15"/>
  <c r="D86" i="15"/>
  <c r="D85" i="15"/>
  <c r="D84" i="15"/>
  <c r="D83" i="15"/>
  <c r="D82" i="15"/>
  <c r="D81" i="15"/>
  <c r="D38" i="15" l="1"/>
  <c r="D37" i="15"/>
  <c r="D36" i="15"/>
  <c r="D35" i="15"/>
  <c r="D34" i="15"/>
  <c r="D48" i="15" l="1"/>
  <c r="C50" i="15" l="1"/>
  <c r="C51" i="15" s="1"/>
  <c r="C18" i="15" l="1"/>
  <c r="D23" i="15"/>
  <c r="B14" i="4" l="1"/>
  <c r="B15" i="4" s="1"/>
  <c r="C23" i="15"/>
  <c r="D25" i="15"/>
  <c r="D26" i="15" s="1"/>
  <c r="C25" i="15" l="1"/>
  <c r="F74" i="13"/>
  <c r="F75" i="13" s="1"/>
  <c r="B5" i="4"/>
  <c r="C26" i="15"/>
  <c r="D74" i="13"/>
  <c r="D75" i="13" s="1"/>
  <c r="E74" i="13" l="1"/>
  <c r="E75" i="13" s="1"/>
  <c r="B6" i="4"/>
</calcChain>
</file>

<file path=xl/sharedStrings.xml><?xml version="1.0" encoding="utf-8"?>
<sst xmlns="http://schemas.openxmlformats.org/spreadsheetml/2006/main" count="373" uniqueCount="255">
  <si>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</si>
  <si>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</si>
  <si>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</si>
  <si>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</si>
  <si>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</si>
  <si>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</si>
  <si>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</si>
  <si>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</si>
  <si>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</si>
  <si>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</si>
  <si>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</si>
  <si>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</si>
  <si>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</si>
  <si>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</si>
  <si>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</si>
  <si>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</si>
  <si>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</si>
  <si>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</si>
  <si>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</si>
  <si>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</si>
  <si>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</si>
  <si>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</si>
  <si>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</si>
  <si>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</si>
  <si>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</si>
  <si>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</si>
  <si>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</si>
  <si>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</si>
  <si>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</si>
  <si>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</si>
  <si>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</si>
  <si>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</si>
  <si>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</si>
  <si>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</si>
  <si>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</si>
  <si>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</si>
  <si>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</si>
  <si>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</si>
  <si>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</si>
  <si>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</si>
  <si>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</si>
  <si>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</si>
  <si>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</si>
  <si>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</si>
  <si>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</si>
  <si>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</si>
  <si>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</si>
  <si>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</si>
  <si>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</si>
  <si>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</si>
  <si>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</si>
  <si>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</si>
  <si>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</si>
  <si>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</si>
  <si>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</si>
  <si>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</si>
  <si>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</si>
  <si>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</si>
  <si>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</si>
  <si>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</si>
  <si>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</si>
  <si>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</si>
  <si>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</si>
  <si>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</si>
  <si>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</si>
  <si>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</si>
  <si>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</si>
  <si>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</si>
  <si>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</si>
  <si>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</si>
  <si>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</si>
  <si>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</si>
  <si>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</si>
  <si>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</si>
  <si>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</si>
  <si>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</si>
  <si>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</si>
  <si>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</si>
  <si>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</si>
  <si>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</si>
  <si>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</si>
  <si>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</si>
  <si>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</si>
  <si>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</si>
  <si>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</si>
  <si>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</si>
  <si>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</si>
  <si>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</si>
  <si>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</si>
  <si>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</si>
  <si>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</si>
  <si>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</si>
  <si>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</si>
  <si>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</si>
  <si>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</si>
  <si>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</si>
  <si>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</si>
  <si>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</si>
  <si>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</si>
  <si>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</si>
  <si>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</si>
  <si>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</si>
  <si>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</si>
  <si>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</si>
  <si>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</si>
  <si>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</si>
  <si>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</si>
  <si>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</si>
  <si>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</si>
  <si>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</si>
  <si>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</si>
  <si>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</si>
  <si>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</si>
  <si>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</si>
  <si>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</si>
  <si>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</si>
  <si>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</si>
  <si>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</si>
  <si>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</si>
  <si>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</si>
  <si>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</si>
  <si>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</si>
  <si>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</si>
  <si>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</si>
  <si>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</si>
  <si>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</si>
  <si>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</si>
  <si>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</si>
  <si>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</si>
  <si>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</si>
  <si>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</si>
  <si>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</si>
  <si>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</si>
  <si>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</si>
  <si>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</si>
  <si>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</si>
  <si>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</si>
  <si>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</si>
  <si>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</si>
  <si>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</si>
  <si>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</si>
  <si>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</si>
  <si>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</si>
  <si>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</si>
  <si>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</si>
  <si>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</si>
  <si>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</si>
  <si>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</si>
  <si>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</si>
  <si>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</si>
  <si>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</si>
  <si>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</si>
  <si>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</si>
  <si>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</si>
  <si>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</si>
  <si>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</si>
  <si>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</si>
  <si>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</si>
  <si>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</si>
  <si>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</si>
  <si>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</si>
  <si>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</si>
  <si>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</si>
  <si>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</si>
  <si>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</si>
  <si>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</si>
  <si>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</si>
  <si>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</si>
  <si>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</si>
  <si>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</si>
  <si>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</si>
  <si>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</si>
  <si>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</si>
  <si>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</si>
  <si>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</si>
  <si>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</si>
  <si>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</si>
  <si>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</si>
  <si>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</si>
  <si>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</si>
  <si>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</si>
  <si>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</si>
  <si>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</si>
  <si>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</si>
  <si>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</si>
  <si>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</si>
  <si>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</si>
  <si>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</si>
  <si>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</si>
  <si>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</si>
  <si>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</si>
  <si>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</si>
  <si>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</si>
  <si>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</si>
  <si>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</si>
  <si>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</si>
  <si>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</si>
  <si>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</si>
  <si>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</si>
  <si>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</si>
  <si>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</si>
  <si>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</si>
  <si>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</si>
  <si>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</si>
  <si>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</si>
  <si>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</si>
  <si>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</si>
  <si>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</si>
  <si>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</si>
  <si>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</si>
  <si>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</si>
  <si>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</si>
  <si>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</si>
  <si>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</si>
  <si>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</si>
  <si>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</si>
  <si>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</si>
  <si>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</si>
  <si>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</si>
  <si>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</si>
  <si>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April 2022 year-to-date</t>
  </si>
  <si>
    <t>Hospital Bad Debt &amp; Free Care</t>
  </si>
  <si>
    <t>Includes Traveler costs</t>
  </si>
  <si>
    <t>All Other</t>
  </si>
  <si>
    <t>Yes</t>
  </si>
  <si>
    <t>No</t>
  </si>
  <si>
    <t>$1,558,194/($3,766,291)</t>
  </si>
  <si>
    <t>Upside/Downside</t>
  </si>
  <si>
    <t>$485,183/($975,122)</t>
  </si>
  <si>
    <t>Budgeted and Maximum are two different things. Maximum upside and downside provided. Budgeted reserve total of $3 million which has a $2.25 million budgeted impact on the income statement.</t>
  </si>
  <si>
    <t>Laboratory</t>
  </si>
  <si>
    <t>Emergency Physician Fees</t>
  </si>
  <si>
    <t>Orthopedic Physician Practice</t>
  </si>
  <si>
    <t>Urgent Care - St. Albans</t>
  </si>
  <si>
    <t>Respiratory Therapy</t>
  </si>
  <si>
    <t>Imaging - Georgia Satelite Location</t>
  </si>
  <si>
    <t>Inpatient ICU &amp; Med/Surg</t>
  </si>
  <si>
    <t>CT Scan</t>
  </si>
  <si>
    <t>OB/GYN Physician Practice</t>
  </si>
  <si>
    <t>Operating Room &amp; Supply</t>
  </si>
  <si>
    <t>Physician Transfers</t>
  </si>
  <si>
    <t>rounding</t>
  </si>
  <si>
    <t>Depreciation</t>
  </si>
  <si>
    <t>Insurance&amp;Utilities</t>
  </si>
  <si>
    <t>Other/Misc</t>
  </si>
  <si>
    <t>PROVIDER RELIEF FUNDS</t>
  </si>
  <si>
    <t>STATE OF VT FEMA</t>
  </si>
  <si>
    <t>VAHHS COVID19 SUBAWARD</t>
  </si>
  <si>
    <t>VHEPC COVID19 SUBAWARD</t>
  </si>
  <si>
    <t>AAPVT COVID19 SUBAWARD</t>
  </si>
  <si>
    <t>10.9% had been realized as of Jan 2022, additional 5% budgeted.</t>
  </si>
  <si>
    <t>10.6% had been realized as of Jan 2022, additional 5% budgeted</t>
  </si>
  <si>
    <t>15.3% had been realized as of Jan 2022, additional 5% budgeted</t>
  </si>
  <si>
    <t>FPP Double Counted in FPP and Provider Transfers</t>
  </si>
  <si>
    <t>Prior Year CR Settlement Booked in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</si>
</sst>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sz val="10"/>
      <color rgb="FF212121"/>
      <name val="Roboto"/>
    </font>
    <font>
      <sz val="10"/>
      <color rgb="FF212121"/>
      <name val="Roboto"/>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44">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0" fontId="0" fillId="0" borderId="0" xfId="0" applyFill="1"/>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0" fontId="2" fillId="0" borderId="18" xfId="0" applyFont="1" applyBorder="1" applyAlignment="1">
      <alignment horizontal="center" vertical="center"/>
    </xf>
    <xf numFmtId="44" fontId="1" fillId="0" borderId="23" xfId="2"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0" fontId="4" fillId="0" borderId="4" xfId="3" applyNumberFormat="1" applyFont="1" applyBorder="1"/>
    <xf numFmtId="10" fontId="24" fillId="3" borderId="4" xfId="3" applyNumberFormat="1" applyFont="1" applyFill="1" applyBorder="1"/>
    <xf numFmtId="165" fontId="4" fillId="0" borderId="4" xfId="2" applyNumberFormat="1" applyFont="1" applyBorder="1"/>
    <xf numFmtId="165" fontId="5" fillId="0" borderId="4" xfId="5" applyNumberFormat="1" applyFont="1" applyBorder="1"/>
    <xf numFmtId="165" fontId="4" fillId="3" borderId="4" xfId="2" applyNumberFormat="1" applyFont="1" applyFill="1" applyBorder="1"/>
    <xf numFmtId="165" fontId="4" fillId="0" borderId="0" xfId="5" applyNumberFormat="1"/>
    <xf numFmtId="44" fontId="4" fillId="0" borderId="0" xfId="5" applyNumberFormat="1"/>
    <xf numFmtId="44" fontId="0" fillId="0" borderId="0" xfId="0" applyNumberFormat="1"/>
    <xf numFmtId="43" fontId="8" fillId="0" borderId="12" xfId="5" applyNumberFormat="1" applyFont="1" applyBorder="1"/>
    <xf numFmtId="41" fontId="8" fillId="0" borderId="12" xfId="5" applyNumberFormat="1" applyFont="1" applyBorder="1"/>
    <xf numFmtId="41" fontId="8" fillId="0" borderId="9" xfId="5" applyNumberFormat="1" applyFont="1" applyBorder="1"/>
    <xf numFmtId="164" fontId="4" fillId="0" borderId="4" xfId="3" applyNumberFormat="1" applyFont="1" applyBorder="1"/>
    <xf numFmtId="0" fontId="4" fillId="0" borderId="4" xfId="5" applyFont="1" applyBorder="1"/>
    <xf numFmtId="41" fontId="4" fillId="6" borderId="4" xfId="3" applyNumberFormat="1" applyFont="1" applyFill="1" applyBorder="1"/>
    <xf numFmtId="10" fontId="5" fillId="0" borderId="4" xfId="3" applyNumberFormat="1" applyFont="1" applyBorder="1"/>
    <xf numFmtId="41" fontId="4" fillId="0" borderId="0" xfId="5" applyNumberFormat="1"/>
    <xf numFmtId="167" fontId="4" fillId="0" borderId="0" xfId="5" applyNumberFormat="1"/>
    <xf numFmtId="10" fontId="4" fillId="0" borderId="0" xfId="5" applyNumberFormat="1"/>
    <xf numFmtId="168" fontId="4" fillId="0" borderId="0" xfId="5" applyNumberFormat="1"/>
    <xf numFmtId="164" fontId="4" fillId="0" borderId="0" xfId="3" applyNumberFormat="1" applyFont="1"/>
    <xf numFmtId="42" fontId="0" fillId="3" borderId="4" xfId="2" applyNumberFormat="1" applyFont="1" applyFill="1" applyBorder="1" applyProtection="1">
      <protection locked="0"/>
    </xf>
    <xf numFmtId="42" fontId="0" fillId="3" borderId="4" xfId="3" applyNumberFormat="1" applyFont="1" applyFill="1" applyBorder="1" applyProtection="1">
      <protection locked="0"/>
    </xf>
    <xf numFmtId="42" fontId="0" fillId="0" borderId="4" xfId="3" applyNumberFormat="1" applyFont="1" applyFill="1" applyBorder="1" applyProtection="1">
      <protection locked="0"/>
    </xf>
    <xf numFmtId="42" fontId="0" fillId="0" borderId="4" xfId="2" applyNumberFormat="1" applyFont="1" applyFill="1" applyBorder="1" applyProtection="1">
      <protection locked="0"/>
    </xf>
    <xf numFmtId="42" fontId="0" fillId="0" borderId="4" xfId="1" applyNumberFormat="1" applyFont="1" applyBorder="1" applyProtection="1">
      <protection locked="0"/>
    </xf>
    <xf numFmtId="42" fontId="0" fillId="0" borderId="4" xfId="1" quotePrefix="1" applyNumberFormat="1" applyFont="1" applyBorder="1" applyAlignment="1" applyProtection="1">
      <alignment horizontal="right"/>
      <protection locked="0"/>
    </xf>
    <xf numFmtId="42" fontId="0" fillId="3" borderId="4" xfId="2" applyNumberFormat="1" applyFont="1" applyFill="1" applyBorder="1"/>
    <xf numFmtId="42" fontId="0" fillId="3" borderId="4" xfId="3" applyNumberFormat="1" applyFont="1" applyFill="1" applyBorder="1"/>
    <xf numFmtId="42" fontId="0" fillId="0" borderId="0" xfId="0" applyNumberFormat="1"/>
    <xf numFmtId="42" fontId="0" fillId="0" borderId="0" xfId="3" applyNumberFormat="1" applyFont="1" applyAlignment="1">
      <alignment horizontal="center"/>
    </xf>
    <xf numFmtId="42" fontId="0" fillId="5" borderId="4" xfId="0" applyNumberFormat="1" applyFill="1" applyBorder="1"/>
    <xf numFmtId="42" fontId="0" fillId="0" borderId="4" xfId="0" applyNumberFormat="1" applyBorder="1"/>
    <xf numFmtId="42" fontId="0" fillId="0" borderId="0" xfId="1" applyNumberFormat="1" applyFont="1" applyFill="1" applyBorder="1" applyProtection="1">
      <protection locked="0"/>
    </xf>
    <xf numFmtId="166" fontId="0" fillId="0" borderId="0" xfId="3" applyNumberFormat="1" applyFont="1"/>
    <xf numFmtId="43" fontId="0" fillId="0" borderId="0" xfId="0" applyNumberFormat="1"/>
    <xf numFmtId="10" fontId="4" fillId="11" borderId="0" xfId="3" applyNumberFormat="1" applyFont="1" applyFill="1" applyBorder="1" applyAlignment="1">
      <alignment horizontal="center"/>
    </xf>
    <xf numFmtId="10" fontId="4" fillId="11" borderId="14" xfId="3" applyNumberFormat="1" applyFont="1" applyFill="1" applyBorder="1" applyAlignment="1">
      <alignment horizontal="center"/>
    </xf>
    <xf numFmtId="10" fontId="4" fillId="14" borderId="28" xfId="3" applyNumberFormat="1" applyFont="1" applyFill="1" applyBorder="1" applyAlignment="1">
      <alignment horizontal="center" wrapText="1"/>
    </xf>
    <xf numFmtId="10" fontId="0" fillId="0" borderId="4" xfId="3" applyNumberFormat="1" applyFont="1" applyBorder="1" applyAlignment="1">
      <alignment horizontal="center"/>
    </xf>
    <xf numFmtId="41" fontId="0" fillId="0" borderId="0" xfId="3" applyNumberFormat="1" applyFont="1" applyFill="1" applyBorder="1" applyAlignment="1">
      <alignment horizontal="center"/>
    </xf>
    <xf numFmtId="41" fontId="0" fillId="0" borderId="0" xfId="3" applyNumberFormat="1" applyFont="1" applyFill="1" applyBorder="1" applyAlignment="1">
      <alignment horizontal="left"/>
    </xf>
    <xf numFmtId="41" fontId="0" fillId="0" borderId="0" xfId="0" applyNumberFormat="1" applyFill="1"/>
    <xf numFmtId="41" fontId="0" fillId="0" borderId="0" xfId="3" applyNumberFormat="1" applyFont="1" applyFill="1" applyBorder="1" applyAlignment="1"/>
    <xf numFmtId="165" fontId="1" fillId="0" borderId="22" xfId="0" applyNumberFormat="1" applyFont="1" applyBorder="1"/>
    <xf numFmtId="165" fontId="1" fillId="0" borderId="15" xfId="0" applyNumberFormat="1" applyFont="1" applyBorder="1"/>
    <xf numFmtId="165" fontId="1" fillId="0" borderId="0" xfId="0" applyNumberFormat="1" applyFont="1"/>
    <xf numFmtId="165" fontId="1" fillId="0" borderId="17" xfId="0" applyNumberFormat="1" applyFont="1" applyBorder="1"/>
    <xf numFmtId="4" fontId="0" fillId="0" borderId="0" xfId="0" applyNumberFormat="1"/>
    <xf numFmtId="42" fontId="2" fillId="0" borderId="0" xfId="0" applyNumberFormat="1" applyFont="1" applyFill="1" applyBorder="1" applyAlignment="1"/>
    <xf numFmtId="44" fontId="0" fillId="5" borderId="0" xfId="2" applyFont="1" applyFill="1" applyBorder="1" applyAlignment="1">
      <alignment horizontal="center"/>
    </xf>
    <xf numFmtId="3" fontId="26" fillId="0" borderId="0" xfId="0" applyNumberFormat="1" applyFont="1"/>
    <xf numFmtId="3" fontId="27" fillId="0" borderId="0" xfId="0" applyNumberFormat="1" applyFont="1"/>
    <xf numFmtId="44" fontId="0" fillId="0" borderId="4" xfId="1" applyNumberFormat="1" applyFont="1" applyFill="1" applyBorder="1" applyProtection="1">
      <protection locked="0"/>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6</xdr:col>
      <xdr:colOff>3113616</xdr:colOff>
      <xdr:row>46</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C13" sqref="C13"/>
    </sheetView>
  </sheetViews>
  <sheetFormatPr defaultRowHeight="15" x14ac:dyDescent="0.25"/>
  <cols>
    <col min="1" max="1" width="16.28515625" customWidth="1"/>
    <col min="2" max="2" width="66.7109375" style="27" customWidth="1"/>
    <col min="3" max="3" width="17.42578125" customWidth="1"/>
  </cols>
  <sheetData>
    <row r="1" spans="1:3" ht="18.75" x14ac:dyDescent="0.3">
      <c r="A1" s="259" t="s">
        <v>218</v>
      </c>
      <c r="B1" s="259"/>
    </row>
    <row r="2" spans="1:3" x14ac:dyDescent="0.25">
      <c r="A2" s="260" t="s">
        <v>0</v>
      </c>
      <c r="B2" s="260"/>
    </row>
    <row r="3" spans="1:3" ht="166.9" customHeight="1" x14ac:dyDescent="0.25">
      <c r="A3" s="258" t="s">
        <v>1</v>
      </c>
      <c r="B3" s="258"/>
    </row>
    <row r="4" spans="1:3" x14ac:dyDescent="0.25">
      <c r="B4" s="46"/>
    </row>
    <row r="5" spans="1:3" ht="15.75" x14ac:dyDescent="0.25">
      <c r="A5" s="111" t="s">
        <v>2</v>
      </c>
      <c r="B5" s="26" t="s">
        <v>3</v>
      </c>
      <c r="C5" s="45"/>
    </row>
    <row r="6" spans="1:3" ht="15.75" x14ac:dyDescent="0.25">
      <c r="A6" s="111" t="s">
        <v>2</v>
      </c>
      <c r="B6" s="45" t="s">
        <v>4</v>
      </c>
      <c r="C6" s="45"/>
    </row>
    <row r="7" spans="1:3" ht="15.75" x14ac:dyDescent="0.25">
      <c r="A7" s="110" t="s">
        <v>5</v>
      </c>
      <c r="B7" s="45" t="s">
        <v>6</v>
      </c>
      <c r="C7" s="45"/>
    </row>
    <row r="8" spans="1:3" ht="15.75" x14ac:dyDescent="0.25">
      <c r="A8" s="111" t="s">
        <v>2</v>
      </c>
      <c r="B8" s="26" t="s">
        <v>7</v>
      </c>
      <c r="C8" s="45"/>
    </row>
    <row r="9" spans="1:3" ht="15.75" x14ac:dyDescent="0.25">
      <c r="A9" s="111" t="s">
        <v>2</v>
      </c>
      <c r="B9" s="26" t="s">
        <v>212</v>
      </c>
      <c r="C9" s="45"/>
    </row>
    <row r="10" spans="1:3" ht="15.75" x14ac:dyDescent="0.25">
      <c r="A10" s="111" t="s">
        <v>2</v>
      </c>
      <c r="B10" s="202" t="s">
        <v>213</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rgb="FF00B050"/>
  </sheetPr>
  <dimension ref="A2:W102"/>
  <sheetViews>
    <sheetView showGridLines="0" tabSelected="1" zoomScaleNormal="100" zoomScaleSheetLayoutView="80" workbookViewId="0">
      <selection activeCell="K16" sqref="K16"/>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5" max="15" width="10.5703125" bestFit="1" customWidth="1"/>
    <col min="16" max="16" width="36" customWidth="1"/>
    <col min="18" max="18" width="13.28515625" bestFit="1" customWidth="1"/>
    <col min="22" max="22" width="15.28515625" bestFit="1" customWidth="1"/>
    <col min="23" max="23" width="10.28515625" bestFit="1" customWidth="1"/>
  </cols>
  <sheetData>
    <row r="2" spans="1:18" x14ac:dyDescent="0.25">
      <c r="B2" s="262" t="s">
        <v>8</v>
      </c>
      <c r="C2" s="262"/>
      <c r="D2" s="262"/>
      <c r="E2" s="262"/>
      <c r="F2" s="262"/>
      <c r="G2" s="262"/>
      <c r="H2" s="262"/>
      <c r="I2" s="262"/>
      <c r="J2" s="262"/>
      <c r="K2" s="262"/>
      <c r="L2" s="262"/>
      <c r="M2" s="262"/>
      <c r="N2" s="262"/>
      <c r="O2" s="262"/>
    </row>
    <row r="3" spans="1:18" ht="21" x14ac:dyDescent="0.35">
      <c r="B3" s="263" t="s">
        <v>9</v>
      </c>
      <c r="C3" s="264"/>
      <c r="D3" s="264"/>
      <c r="E3" s="264"/>
      <c r="F3" s="264"/>
      <c r="G3" s="264"/>
      <c r="H3" s="264"/>
      <c r="I3" s="264"/>
      <c r="J3" s="264"/>
      <c r="K3" s="264"/>
      <c r="L3" s="264"/>
      <c r="M3" s="264"/>
      <c r="N3" s="264"/>
      <c r="O3" s="265"/>
    </row>
    <row r="4" spans="1:18" ht="21" x14ac:dyDescent="0.35">
      <c r="B4" s="269" t="s">
        <v>10</v>
      </c>
      <c r="C4" s="270"/>
      <c r="D4" s="270"/>
      <c r="E4" s="270"/>
      <c r="F4" s="270"/>
      <c r="G4" s="270"/>
      <c r="H4" s="270"/>
      <c r="I4" s="270"/>
      <c r="J4" s="270"/>
      <c r="K4" s="270"/>
      <c r="L4" s="270"/>
      <c r="M4" s="270"/>
      <c r="N4" s="270"/>
      <c r="O4" s="271"/>
    </row>
    <row r="6" spans="1:18" ht="18.75" x14ac:dyDescent="0.3">
      <c r="B6" s="266" t="s">
        <v>11</v>
      </c>
      <c r="C6" s="267"/>
      <c r="D6" s="267"/>
      <c r="E6" s="267"/>
      <c r="F6" s="267"/>
      <c r="G6" s="267"/>
      <c r="H6" s="267"/>
      <c r="I6" s="267"/>
      <c r="J6" s="267"/>
      <c r="K6" s="267"/>
      <c r="L6" s="267"/>
      <c r="M6" s="267"/>
      <c r="N6" s="267"/>
      <c r="O6" s="268"/>
    </row>
    <row r="7" spans="1:18" s="55" customFormat="1" ht="18.75" x14ac:dyDescent="0.3">
      <c r="B7" s="54"/>
      <c r="C7" s="54"/>
      <c r="D7" s="54"/>
      <c r="E7" s="54"/>
      <c r="F7" s="54"/>
      <c r="G7" s="54"/>
      <c r="H7" s="54"/>
      <c r="I7" s="54"/>
      <c r="J7" s="54"/>
      <c r="K7" s="54"/>
      <c r="L7" s="54"/>
      <c r="M7" s="54"/>
      <c r="N7" s="54"/>
      <c r="O7" s="54"/>
    </row>
    <row r="8" spans="1:18" ht="18.75" x14ac:dyDescent="0.3">
      <c r="B8" s="95" t="s">
        <v>155</v>
      </c>
      <c r="C8" s="4"/>
      <c r="G8" s="233"/>
    </row>
    <row r="9" spans="1:18" ht="22.15" customHeight="1" x14ac:dyDescent="0.3">
      <c r="B9" s="4"/>
      <c r="C9" s="4"/>
      <c r="E9" s="82"/>
      <c r="F9" s="82"/>
      <c r="G9" s="253"/>
      <c r="H9" s="82"/>
      <c r="I9" s="82"/>
      <c r="K9" s="28"/>
    </row>
    <row r="10" spans="1:18" s="102" customFormat="1" ht="30" x14ac:dyDescent="0.25">
      <c r="B10" s="100" t="s">
        <v>12</v>
      </c>
      <c r="C10" s="100" t="s">
        <v>13</v>
      </c>
      <c r="D10" s="100" t="s">
        <v>14</v>
      </c>
      <c r="E10" s="100" t="s">
        <v>15</v>
      </c>
      <c r="F10" s="100" t="s">
        <v>16</v>
      </c>
      <c r="G10" s="100" t="s">
        <v>17</v>
      </c>
      <c r="H10" s="100" t="s">
        <v>18</v>
      </c>
      <c r="I10" s="101"/>
      <c r="J10" s="103"/>
    </row>
    <row r="11" spans="1:18" x14ac:dyDescent="0.25">
      <c r="B11" s="5" t="s">
        <v>156</v>
      </c>
      <c r="C11" s="225">
        <f t="shared" ref="C11:C22" si="0">SUM(D11:H11)</f>
        <v>115925533</v>
      </c>
      <c r="D11" s="226">
        <v>33887233</v>
      </c>
      <c r="E11" s="225">
        <v>15263833</v>
      </c>
      <c r="F11" s="225">
        <f>65726903-G11</f>
        <v>61323200</v>
      </c>
      <c r="G11" s="225">
        <v>4403703</v>
      </c>
      <c r="H11" s="225">
        <v>1047564</v>
      </c>
      <c r="J11" s="28"/>
    </row>
    <row r="12" spans="1:18" ht="14.45" customHeight="1" x14ac:dyDescent="0.25">
      <c r="A12" s="272"/>
      <c r="B12" s="8" t="s">
        <v>19</v>
      </c>
      <c r="C12" s="225">
        <f t="shared" si="0"/>
        <v>6708957</v>
      </c>
      <c r="D12" s="227">
        <v>0</v>
      </c>
      <c r="E12" s="228">
        <v>0</v>
      </c>
      <c r="F12" s="229">
        <v>6213067</v>
      </c>
      <c r="G12" s="229">
        <v>495890</v>
      </c>
      <c r="H12" s="229">
        <v>0</v>
      </c>
      <c r="L12" s="22"/>
      <c r="M12" s="238"/>
      <c r="N12" s="24"/>
      <c r="Q12" s="23"/>
      <c r="R12" s="239"/>
    </row>
    <row r="13" spans="1:18" x14ac:dyDescent="0.25">
      <c r="A13" s="272"/>
      <c r="B13" s="8" t="s">
        <v>20</v>
      </c>
      <c r="C13" s="225">
        <f t="shared" si="0"/>
        <v>-10506</v>
      </c>
      <c r="D13" s="227"/>
      <c r="E13" s="228"/>
      <c r="F13" s="229"/>
      <c r="G13" s="229"/>
      <c r="H13" s="229">
        <v>-10506</v>
      </c>
      <c r="L13" s="22"/>
      <c r="M13" s="238"/>
      <c r="N13" s="24"/>
      <c r="Q13" s="23"/>
      <c r="R13" s="239"/>
    </row>
    <row r="14" spans="1:18" x14ac:dyDescent="0.25">
      <c r="A14" s="272"/>
      <c r="B14" s="8" t="s">
        <v>21</v>
      </c>
      <c r="C14" s="225">
        <f t="shared" si="0"/>
        <v>1286285</v>
      </c>
      <c r="D14" s="227">
        <v>89374</v>
      </c>
      <c r="E14" s="228">
        <v>143836</v>
      </c>
      <c r="F14" s="229">
        <v>1053075</v>
      </c>
      <c r="G14" s="229"/>
      <c r="H14" s="229"/>
      <c r="L14" s="22"/>
      <c r="M14" s="238"/>
      <c r="N14" s="24"/>
      <c r="Q14" s="23"/>
      <c r="R14" s="239"/>
    </row>
    <row r="15" spans="1:18" x14ac:dyDescent="0.25">
      <c r="A15" s="272"/>
      <c r="B15" s="8" t="s">
        <v>22</v>
      </c>
      <c r="C15" s="225">
        <f t="shared" si="0"/>
        <v>-3875055</v>
      </c>
      <c r="D15" s="227">
        <v>-2505506</v>
      </c>
      <c r="E15" s="228">
        <v>-1111827</v>
      </c>
      <c r="F15" s="229">
        <v>-257722</v>
      </c>
      <c r="G15" s="229">
        <v>0</v>
      </c>
      <c r="H15" s="229">
        <v>0</v>
      </c>
      <c r="K15" s="237"/>
      <c r="L15" s="22"/>
      <c r="M15" s="238"/>
      <c r="Q15" s="23"/>
      <c r="R15" s="239"/>
    </row>
    <row r="16" spans="1:18" x14ac:dyDescent="0.25">
      <c r="A16" s="272"/>
      <c r="B16" s="10" t="s">
        <v>23</v>
      </c>
      <c r="C16" s="225">
        <f t="shared" si="0"/>
        <v>-4409603</v>
      </c>
      <c r="D16" s="227">
        <v>-190677</v>
      </c>
      <c r="E16" s="228">
        <v>-433113</v>
      </c>
      <c r="F16" s="230">
        <v>-3170648</v>
      </c>
      <c r="G16" s="230">
        <v>-615165</v>
      </c>
      <c r="H16" s="230"/>
      <c r="K16" s="22"/>
      <c r="L16" s="22"/>
      <c r="M16" s="238"/>
      <c r="Q16" s="23"/>
      <c r="R16" s="239"/>
    </row>
    <row r="17" spans="1:23" x14ac:dyDescent="0.25">
      <c r="A17" s="272"/>
      <c r="B17" s="10" t="s">
        <v>24</v>
      </c>
      <c r="C17" s="225">
        <f t="shared" si="0"/>
        <v>0</v>
      </c>
      <c r="D17" s="227"/>
      <c r="E17" s="228"/>
      <c r="F17" s="229"/>
      <c r="G17" s="229"/>
      <c r="H17" s="229"/>
      <c r="L17" s="22"/>
      <c r="M17" s="23"/>
      <c r="Q17" s="23"/>
      <c r="R17" s="239"/>
    </row>
    <row r="18" spans="1:23" x14ac:dyDescent="0.25">
      <c r="A18" s="272"/>
      <c r="B18" s="10" t="s">
        <v>25</v>
      </c>
      <c r="C18" s="225">
        <f t="shared" si="0"/>
        <v>2879448</v>
      </c>
      <c r="D18" s="227">
        <v>-1224262</v>
      </c>
      <c r="E18" s="228">
        <v>1069699</v>
      </c>
      <c r="F18" s="229">
        <v>1795091</v>
      </c>
      <c r="G18" s="229">
        <v>1238920</v>
      </c>
      <c r="H18" s="229"/>
      <c r="L18" s="22"/>
      <c r="M18" s="23"/>
      <c r="Q18" s="23"/>
      <c r="R18" s="239"/>
    </row>
    <row r="19" spans="1:23" x14ac:dyDescent="0.25">
      <c r="A19" s="272"/>
      <c r="B19" s="10" t="s">
        <v>26</v>
      </c>
      <c r="C19" s="225">
        <f t="shared" si="0"/>
        <v>1051412</v>
      </c>
      <c r="D19" s="227"/>
      <c r="E19" s="228"/>
      <c r="F19" s="229">
        <v>1051412</v>
      </c>
      <c r="G19" s="229">
        <v>0</v>
      </c>
      <c r="H19" s="229"/>
      <c r="I19" s="212"/>
      <c r="L19" s="22"/>
      <c r="M19" s="23"/>
      <c r="Q19" s="23"/>
      <c r="R19" s="239"/>
    </row>
    <row r="20" spans="1:23" x14ac:dyDescent="0.25">
      <c r="B20" s="86" t="s">
        <v>253</v>
      </c>
      <c r="C20" s="225">
        <f t="shared" si="0"/>
        <v>1537202</v>
      </c>
      <c r="D20" s="227">
        <v>430173</v>
      </c>
      <c r="E20" s="228">
        <v>849307</v>
      </c>
      <c r="F20" s="230">
        <v>257722</v>
      </c>
      <c r="G20" s="230"/>
      <c r="H20" s="230"/>
      <c r="O20" s="22"/>
      <c r="P20" s="23"/>
      <c r="Q20" s="23"/>
      <c r="R20" s="239"/>
    </row>
    <row r="21" spans="1:23" x14ac:dyDescent="0.25">
      <c r="B21" s="86" t="s">
        <v>27</v>
      </c>
      <c r="C21" s="225">
        <f t="shared" si="0"/>
        <v>0</v>
      </c>
      <c r="D21" s="227"/>
      <c r="E21" s="228"/>
      <c r="F21" s="230"/>
      <c r="G21" s="230"/>
      <c r="H21" s="230"/>
      <c r="O21" s="22"/>
      <c r="P21" s="23"/>
      <c r="R21" s="239"/>
    </row>
    <row r="22" spans="1:23" x14ac:dyDescent="0.25">
      <c r="B22" s="86" t="s">
        <v>27</v>
      </c>
      <c r="C22" s="225">
        <f t="shared" si="0"/>
        <v>0</v>
      </c>
      <c r="D22" s="227"/>
      <c r="E22" s="228"/>
      <c r="F22" s="230"/>
      <c r="G22" s="230"/>
      <c r="H22" s="230"/>
      <c r="O22" s="22"/>
      <c r="P22" s="23"/>
      <c r="R22" s="24"/>
    </row>
    <row r="23" spans="1:23" x14ac:dyDescent="0.25">
      <c r="B23" s="11" t="s">
        <v>157</v>
      </c>
      <c r="C23" s="231">
        <f t="shared" ref="C23:H23" si="1">SUM(C11:C22)</f>
        <v>121093673</v>
      </c>
      <c r="D23" s="232">
        <f t="shared" si="1"/>
        <v>30486335</v>
      </c>
      <c r="E23" s="232">
        <f t="shared" si="1"/>
        <v>15781735</v>
      </c>
      <c r="F23" s="232">
        <f t="shared" si="1"/>
        <v>68265197</v>
      </c>
      <c r="G23" s="232">
        <f t="shared" si="1"/>
        <v>5523348</v>
      </c>
      <c r="H23" s="232">
        <f t="shared" si="1"/>
        <v>1037058</v>
      </c>
      <c r="J23" s="233"/>
      <c r="O23" s="22"/>
      <c r="P23" s="23"/>
    </row>
    <row r="24" spans="1:23" x14ac:dyDescent="0.25">
      <c r="C24" s="233"/>
      <c r="D24" s="234"/>
      <c r="E24" s="233"/>
      <c r="F24" s="233"/>
      <c r="G24" s="233"/>
      <c r="H24" s="233"/>
      <c r="J24" s="212"/>
      <c r="O24" s="22"/>
      <c r="P24" s="23"/>
    </row>
    <row r="25" spans="1:23" x14ac:dyDescent="0.25">
      <c r="B25" s="29" t="s">
        <v>158</v>
      </c>
      <c r="C25" s="235">
        <f t="shared" ref="C25:H25" si="2">+C23-C11</f>
        <v>5168140</v>
      </c>
      <c r="D25" s="236">
        <f t="shared" si="2"/>
        <v>-3400898</v>
      </c>
      <c r="E25" s="236">
        <f t="shared" si="2"/>
        <v>517902</v>
      </c>
      <c r="F25" s="236">
        <f t="shared" si="2"/>
        <v>6941997</v>
      </c>
      <c r="G25" s="236">
        <f t="shared" si="2"/>
        <v>1119645</v>
      </c>
      <c r="H25" s="236">
        <f t="shared" si="2"/>
        <v>-10506</v>
      </c>
      <c r="O25" s="22"/>
      <c r="P25" s="23"/>
    </row>
    <row r="26" spans="1:23" x14ac:dyDescent="0.25">
      <c r="B26" s="52" t="s">
        <v>159</v>
      </c>
      <c r="C26" s="53">
        <f t="shared" ref="C26:H26" si="3">(C25)/C11</f>
        <v>4.4581550468264827E-2</v>
      </c>
      <c r="D26" s="53">
        <f t="shared" si="3"/>
        <v>-0.10035927099742845</v>
      </c>
      <c r="E26" s="53">
        <f t="shared" si="3"/>
        <v>3.3930009585403612E-2</v>
      </c>
      <c r="F26" s="53">
        <f t="shared" si="3"/>
        <v>0.11320343687217888</v>
      </c>
      <c r="G26" s="53">
        <f t="shared" si="3"/>
        <v>0.25425079756741087</v>
      </c>
      <c r="H26" s="53">
        <f t="shared" si="3"/>
        <v>-1.0028981522847291E-2</v>
      </c>
      <c r="O26" s="22"/>
      <c r="P26" s="23"/>
    </row>
    <row r="27" spans="1:23" x14ac:dyDescent="0.25">
      <c r="B27" s="114"/>
      <c r="C27" s="58"/>
      <c r="D27" s="58"/>
      <c r="E27" s="58"/>
      <c r="F27" s="58"/>
      <c r="G27" s="58"/>
      <c r="H27" s="58"/>
      <c r="O27" s="22"/>
      <c r="P27" s="23"/>
    </row>
    <row r="28" spans="1:23" ht="28.15" customHeight="1" x14ac:dyDescent="0.3">
      <c r="B28" s="95" t="s">
        <v>160</v>
      </c>
      <c r="C28" s="4"/>
      <c r="D28" s="15"/>
      <c r="E28" s="15"/>
      <c r="G28" s="233"/>
      <c r="V28" s="22"/>
      <c r="W28" s="23"/>
    </row>
    <row r="29" spans="1:23" ht="18.75" x14ac:dyDescent="0.3">
      <c r="B29" s="95"/>
      <c r="C29" s="4"/>
      <c r="D29" s="15"/>
      <c r="E29" s="15"/>
      <c r="V29" s="22"/>
      <c r="W29" s="23"/>
    </row>
    <row r="30" spans="1:23" s="85" customFormat="1" x14ac:dyDescent="0.25">
      <c r="B30" s="97" t="s">
        <v>28</v>
      </c>
      <c r="C30" s="97" t="s">
        <v>29</v>
      </c>
      <c r="D30" s="97" t="s">
        <v>30</v>
      </c>
      <c r="E30" s="172"/>
      <c r="F30" s="173"/>
      <c r="G30" s="173"/>
      <c r="H30" s="173"/>
      <c r="V30" s="98"/>
      <c r="W30" s="99"/>
    </row>
    <row r="31" spans="1:23" x14ac:dyDescent="0.25">
      <c r="B31" s="5" t="s">
        <v>156</v>
      </c>
      <c r="C31" s="87">
        <v>119163778</v>
      </c>
      <c r="D31" s="7"/>
      <c r="E31" s="183"/>
      <c r="F31" s="183"/>
      <c r="G31" s="174"/>
      <c r="H31" s="174"/>
      <c r="V31" s="22"/>
      <c r="W31" s="23"/>
    </row>
    <row r="32" spans="1:23" x14ac:dyDescent="0.25">
      <c r="B32" s="8" t="s">
        <v>31</v>
      </c>
      <c r="C32" s="92">
        <v>718447</v>
      </c>
      <c r="D32" s="243">
        <f>+C32/C$31</f>
        <v>6.0290720222046E-3</v>
      </c>
      <c r="E32" s="245"/>
      <c r="F32" s="244"/>
      <c r="G32" s="174"/>
      <c r="H32" s="174"/>
      <c r="V32" s="22"/>
    </row>
    <row r="33" spans="2:22" x14ac:dyDescent="0.25">
      <c r="B33" s="171" t="s">
        <v>179</v>
      </c>
      <c r="C33" s="166">
        <f>'4. Inflation'!D15</f>
        <v>10555209.774232205</v>
      </c>
      <c r="D33" s="243">
        <f>+C33/C$31</f>
        <v>8.8577334080765763E-2</v>
      </c>
      <c r="E33" s="244"/>
      <c r="F33" s="244"/>
      <c r="G33" s="174"/>
      <c r="H33" s="174"/>
      <c r="V33" s="22"/>
    </row>
    <row r="34" spans="2:22" x14ac:dyDescent="0.25">
      <c r="B34" s="10" t="s">
        <v>33</v>
      </c>
      <c r="C34" s="92"/>
      <c r="D34" s="243">
        <f t="shared" ref="D34:D46" si="4">+C34/C$31</f>
        <v>0</v>
      </c>
      <c r="E34" s="244"/>
      <c r="F34" s="244"/>
      <c r="G34" s="174"/>
      <c r="H34" s="174"/>
      <c r="V34" s="22"/>
    </row>
    <row r="35" spans="2:22" x14ac:dyDescent="0.25">
      <c r="B35" s="10" t="s">
        <v>34</v>
      </c>
      <c r="C35" s="92">
        <v>701082</v>
      </c>
      <c r="D35" s="243">
        <f t="shared" si="4"/>
        <v>5.8833482100575894E-3</v>
      </c>
      <c r="E35" s="245"/>
      <c r="F35" s="244"/>
      <c r="G35" s="174"/>
      <c r="H35" s="174"/>
      <c r="V35" s="22"/>
    </row>
    <row r="36" spans="2:22" x14ac:dyDescent="0.25">
      <c r="B36" s="10" t="s">
        <v>35</v>
      </c>
      <c r="C36" s="92"/>
      <c r="D36" s="243">
        <f t="shared" si="4"/>
        <v>0</v>
      </c>
      <c r="E36" s="247"/>
      <c r="F36" s="244"/>
      <c r="G36" s="174"/>
      <c r="H36" s="174"/>
      <c r="V36" s="22"/>
    </row>
    <row r="37" spans="2:22" x14ac:dyDescent="0.25">
      <c r="B37" s="10" t="s">
        <v>36</v>
      </c>
      <c r="C37" s="92">
        <v>70605</v>
      </c>
      <c r="D37" s="243">
        <f t="shared" si="4"/>
        <v>5.9250387311486554E-4</v>
      </c>
      <c r="E37" s="247"/>
      <c r="F37" s="244"/>
      <c r="G37" s="174"/>
      <c r="H37" s="174"/>
      <c r="V37" s="22"/>
    </row>
    <row r="38" spans="2:22" x14ac:dyDescent="0.25">
      <c r="B38" s="10" t="s">
        <v>37</v>
      </c>
      <c r="C38" s="92">
        <v>240627</v>
      </c>
      <c r="D38" s="243">
        <f t="shared" si="4"/>
        <v>2.0192965013244211E-3</v>
      </c>
      <c r="E38" s="245"/>
      <c r="F38" s="244"/>
      <c r="G38" s="174"/>
      <c r="H38" s="174"/>
    </row>
    <row r="39" spans="2:22" x14ac:dyDescent="0.25">
      <c r="B39" s="10" t="s">
        <v>38</v>
      </c>
      <c r="C39" s="92">
        <v>205291</v>
      </c>
      <c r="D39" s="243">
        <f t="shared" si="4"/>
        <v>1.7227634390712251E-3</v>
      </c>
      <c r="E39" s="244"/>
      <c r="F39" s="244"/>
      <c r="G39" s="246"/>
      <c r="H39" s="174"/>
    </row>
    <row r="40" spans="2:22" x14ac:dyDescent="0.25">
      <c r="B40" s="10" t="s">
        <v>39</v>
      </c>
      <c r="C40" s="92"/>
      <c r="D40" s="243">
        <f>+C40/C$31</f>
        <v>0</v>
      </c>
      <c r="E40" s="244"/>
      <c r="F40" s="244"/>
      <c r="G40" s="174"/>
      <c r="H40" s="174"/>
    </row>
    <row r="41" spans="2:22" x14ac:dyDescent="0.25">
      <c r="B41" s="86" t="s">
        <v>182</v>
      </c>
      <c r="C41" s="92">
        <v>-1870317</v>
      </c>
      <c r="D41" s="243">
        <f>+C41/C$31</f>
        <v>-1.5695348296191146E-2</v>
      </c>
      <c r="E41" s="245"/>
      <c r="F41" s="244"/>
      <c r="G41" s="174"/>
      <c r="H41" s="174"/>
    </row>
    <row r="42" spans="2:22" x14ac:dyDescent="0.25">
      <c r="B42" s="86" t="s">
        <v>183</v>
      </c>
      <c r="C42" s="92">
        <v>-6580085.8599999994</v>
      </c>
      <c r="D42" s="243">
        <f>+C42/C$31</f>
        <v>-5.521884225590766E-2</v>
      </c>
      <c r="E42" s="244"/>
      <c r="F42" s="244"/>
      <c r="G42" s="174"/>
      <c r="H42" s="174"/>
    </row>
    <row r="43" spans="2:22" x14ac:dyDescent="0.25">
      <c r="B43" s="86" t="s">
        <v>184</v>
      </c>
      <c r="C43" s="92"/>
      <c r="D43" s="243">
        <f>+C43/C$31</f>
        <v>0</v>
      </c>
      <c r="E43" s="244"/>
      <c r="F43" s="244"/>
      <c r="G43" s="174"/>
      <c r="H43" s="174"/>
    </row>
    <row r="44" spans="2:22" x14ac:dyDescent="0.25">
      <c r="B44" s="86" t="s">
        <v>185</v>
      </c>
      <c r="C44" s="92">
        <v>1986076</v>
      </c>
      <c r="D44" s="243">
        <f t="shared" si="4"/>
        <v>1.6666776039947307E-2</v>
      </c>
      <c r="E44" s="244"/>
      <c r="F44" s="244"/>
      <c r="G44" s="174"/>
      <c r="H44" s="174"/>
    </row>
    <row r="45" spans="2:22" x14ac:dyDescent="0.25">
      <c r="B45" s="86" t="s">
        <v>242</v>
      </c>
      <c r="C45" s="92">
        <v>826845</v>
      </c>
      <c r="D45" s="243">
        <f t="shared" si="4"/>
        <v>6.93872763919922E-3</v>
      </c>
      <c r="E45" s="244"/>
      <c r="F45" s="244"/>
      <c r="G45" s="174"/>
      <c r="H45" s="174"/>
    </row>
    <row r="46" spans="2:22" x14ac:dyDescent="0.25">
      <c r="B46" s="86" t="s">
        <v>243</v>
      </c>
      <c r="C46" s="92">
        <v>209329</v>
      </c>
      <c r="D46" s="243">
        <f t="shared" si="4"/>
        <v>1.7566495751754362E-3</v>
      </c>
      <c r="E46" s="244"/>
      <c r="F46" s="244"/>
      <c r="G46" s="174"/>
      <c r="H46" s="174"/>
    </row>
    <row r="47" spans="2:22" x14ac:dyDescent="0.25">
      <c r="B47" s="86" t="s">
        <v>244</v>
      </c>
      <c r="C47" s="92">
        <v>-556464</v>
      </c>
      <c r="D47" s="243">
        <f>+C47/C$31</f>
        <v>-4.6697411691663552E-3</v>
      </c>
      <c r="E47" s="244"/>
      <c r="F47" s="244"/>
      <c r="G47" s="174"/>
      <c r="H47" s="174"/>
    </row>
    <row r="48" spans="2:22" x14ac:dyDescent="0.25">
      <c r="B48" s="11" t="s">
        <v>157</v>
      </c>
      <c r="C48" s="12">
        <f>SUM(C31:C47)</f>
        <v>125670422.91423221</v>
      </c>
      <c r="D48" s="13">
        <f>SUM(D32:D47)</f>
        <v>5.4602539659595266E-2</v>
      </c>
      <c r="E48" s="244"/>
      <c r="F48" s="244"/>
      <c r="G48" s="174"/>
      <c r="H48" s="174"/>
    </row>
    <row r="49" spans="1:23" x14ac:dyDescent="0.25">
      <c r="B49" s="83"/>
      <c r="C49" s="84"/>
      <c r="D49" s="75"/>
      <c r="E49" s="75"/>
    </row>
    <row r="50" spans="1:23" x14ac:dyDescent="0.25">
      <c r="B50" s="29" t="s">
        <v>158</v>
      </c>
      <c r="C50" s="62">
        <f>+C48-C31</f>
        <v>6506644.9142322093</v>
      </c>
      <c r="D50" s="75"/>
      <c r="E50" s="75"/>
    </row>
    <row r="51" spans="1:23" x14ac:dyDescent="0.25">
      <c r="B51" s="52" t="s">
        <v>159</v>
      </c>
      <c r="C51" s="53">
        <f>(C50)/C31</f>
        <v>5.4602539659595294E-2</v>
      </c>
      <c r="D51" s="75"/>
      <c r="E51" s="75"/>
    </row>
    <row r="52" spans="1:23" x14ac:dyDescent="0.25">
      <c r="B52" s="114"/>
      <c r="C52" s="58"/>
      <c r="D52" s="58"/>
      <c r="E52" s="58"/>
      <c r="F52" s="58"/>
      <c r="G52" s="58"/>
      <c r="H52" s="58"/>
      <c r="O52" s="22"/>
      <c r="P52" s="23"/>
    </row>
    <row r="54" spans="1:23" ht="18.75" x14ac:dyDescent="0.3">
      <c r="B54" s="266" t="s">
        <v>41</v>
      </c>
      <c r="C54" s="267"/>
      <c r="D54" s="267"/>
      <c r="E54" s="267"/>
      <c r="F54" s="267"/>
      <c r="G54" s="267"/>
      <c r="H54" s="267"/>
      <c r="I54" s="267"/>
      <c r="J54" s="267"/>
      <c r="K54" s="267"/>
      <c r="L54" s="267"/>
      <c r="M54" s="267"/>
      <c r="N54" s="267"/>
      <c r="O54" s="268"/>
      <c r="V54" s="22"/>
      <c r="W54" s="23"/>
    </row>
    <row r="55" spans="1:23" x14ac:dyDescent="0.25">
      <c r="B55" s="17"/>
    </row>
    <row r="56" spans="1:23" ht="18.75" x14ac:dyDescent="0.3">
      <c r="B56" s="95" t="s">
        <v>161</v>
      </c>
      <c r="C56" s="4"/>
    </row>
    <row r="57" spans="1:23" ht="18.75" x14ac:dyDescent="0.3">
      <c r="B57" s="95"/>
      <c r="C57" s="4"/>
    </row>
    <row r="58" spans="1:23" ht="18.75" x14ac:dyDescent="0.3">
      <c r="B58" s="95" t="s">
        <v>42</v>
      </c>
      <c r="C58" s="136" t="s">
        <v>220</v>
      </c>
      <c r="E58" s="14"/>
    </row>
    <row r="59" spans="1:23" s="85" customFormat="1" ht="30" x14ac:dyDescent="0.25">
      <c r="B59" s="96" t="s">
        <v>12</v>
      </c>
      <c r="C59" s="96" t="s">
        <v>13</v>
      </c>
      <c r="D59" s="96" t="s">
        <v>14</v>
      </c>
      <c r="E59" s="96" t="s">
        <v>15</v>
      </c>
      <c r="F59" s="96" t="s">
        <v>16</v>
      </c>
      <c r="G59" s="96" t="s">
        <v>17</v>
      </c>
      <c r="H59" s="96" t="s">
        <v>18</v>
      </c>
    </row>
    <row r="60" spans="1:23" x14ac:dyDescent="0.25">
      <c r="B60" s="5" t="s">
        <v>162</v>
      </c>
      <c r="C60" s="87">
        <f>SUM(D60:H60)</f>
        <v>119365274</v>
      </c>
      <c r="D60" s="93">
        <f>30124406+4600990-2683911</f>
        <v>32041485</v>
      </c>
      <c r="E60" s="94">
        <v>17254182</v>
      </c>
      <c r="F60" s="94">
        <f>64822158-G60+4210391</f>
        <v>64616384</v>
      </c>
      <c r="G60" s="94">
        <v>4416165</v>
      </c>
      <c r="H60" s="94">
        <v>1037058</v>
      </c>
      <c r="I60" s="85"/>
      <c r="J60" s="85"/>
    </row>
    <row r="61" spans="1:23" ht="14.45" customHeight="1" x14ac:dyDescent="0.25">
      <c r="A61" s="261"/>
      <c r="B61" s="8" t="s">
        <v>19</v>
      </c>
      <c r="C61" s="87">
        <f>SUM(D61:H61)</f>
        <v>6708957</v>
      </c>
      <c r="D61" s="88">
        <v>0</v>
      </c>
      <c r="E61" s="89">
        <v>0</v>
      </c>
      <c r="F61" s="90">
        <v>6213067</v>
      </c>
      <c r="G61" s="90">
        <v>495890</v>
      </c>
      <c r="H61" s="90"/>
      <c r="I61" s="85"/>
      <c r="J61" s="85"/>
      <c r="L61" s="22"/>
      <c r="M61" s="23"/>
    </row>
    <row r="62" spans="1:23" x14ac:dyDescent="0.25">
      <c r="A62" s="261"/>
      <c r="B62" s="8" t="s">
        <v>20</v>
      </c>
      <c r="C62" s="87">
        <f>SUM(D62:H62)</f>
        <v>0</v>
      </c>
      <c r="D62" s="88"/>
      <c r="E62" s="89"/>
      <c r="F62" s="90"/>
      <c r="G62" s="90"/>
      <c r="H62" s="90"/>
      <c r="I62" s="85"/>
      <c r="J62" s="85"/>
      <c r="L62" s="22"/>
      <c r="M62" s="23"/>
    </row>
    <row r="63" spans="1:23" x14ac:dyDescent="0.25">
      <c r="A63" s="261"/>
      <c r="B63" s="8" t="s">
        <v>21</v>
      </c>
      <c r="C63" s="87">
        <f>SUM(D63:H63)</f>
        <v>3395170</v>
      </c>
      <c r="D63" s="88">
        <v>916229</v>
      </c>
      <c r="E63" s="89">
        <v>1292646</v>
      </c>
      <c r="F63" s="90">
        <v>575002</v>
      </c>
      <c r="G63" s="90">
        <v>611293</v>
      </c>
      <c r="H63" s="90"/>
      <c r="I63" s="85"/>
      <c r="J63" s="85"/>
      <c r="K63" s="212"/>
      <c r="L63" s="255"/>
      <c r="M63" s="256"/>
      <c r="N63" s="256"/>
    </row>
    <row r="64" spans="1:23" x14ac:dyDescent="0.25">
      <c r="A64" s="261"/>
      <c r="B64" s="8" t="s">
        <v>22</v>
      </c>
      <c r="C64" s="87">
        <f t="shared" ref="C64:C71" si="5">SUM(D64:H64)</f>
        <v>-5796079</v>
      </c>
      <c r="D64" s="88">
        <v>-3426530</v>
      </c>
      <c r="E64" s="89">
        <v>-2111827</v>
      </c>
      <c r="F64" s="90">
        <v>-257722</v>
      </c>
      <c r="G64" s="90"/>
      <c r="H64" s="90"/>
      <c r="I64" s="85"/>
      <c r="J64" s="85"/>
      <c r="L64" s="22"/>
      <c r="M64" s="22"/>
      <c r="N64" s="22"/>
      <c r="O64" s="24"/>
    </row>
    <row r="65" spans="2:23" x14ac:dyDescent="0.25">
      <c r="B65" s="10" t="s">
        <v>23</v>
      </c>
      <c r="C65" s="87">
        <f t="shared" si="5"/>
        <v>-4528390</v>
      </c>
      <c r="D65" s="88">
        <v>-2142845</v>
      </c>
      <c r="E65" s="89">
        <v>-653266</v>
      </c>
      <c r="F65" s="90">
        <v>-1732279</v>
      </c>
      <c r="G65" s="91"/>
      <c r="H65" s="91"/>
      <c r="I65" s="85"/>
      <c r="J65" s="85"/>
      <c r="L65" s="22"/>
      <c r="M65" s="23"/>
    </row>
    <row r="66" spans="2:23" x14ac:dyDescent="0.25">
      <c r="B66" s="10" t="s">
        <v>24</v>
      </c>
      <c r="C66" s="87">
        <f t="shared" si="5"/>
        <v>0</v>
      </c>
      <c r="D66" s="88"/>
      <c r="E66" s="89"/>
      <c r="F66" s="90"/>
      <c r="G66" s="90"/>
      <c r="H66" s="90"/>
      <c r="I66" s="85"/>
      <c r="J66" s="85"/>
      <c r="K66" s="252"/>
      <c r="L66" s="22"/>
      <c r="M66" s="23"/>
    </row>
    <row r="67" spans="2:23" x14ac:dyDescent="0.25">
      <c r="B67" s="10" t="s">
        <v>25</v>
      </c>
      <c r="C67" s="87">
        <f t="shared" si="5"/>
        <v>414085</v>
      </c>
      <c r="D67" s="88">
        <v>414085</v>
      </c>
      <c r="E67" s="89"/>
      <c r="F67" s="257"/>
      <c r="G67" s="257"/>
      <c r="H67" s="90"/>
      <c r="I67" s="85"/>
      <c r="J67" s="85"/>
      <c r="K67" s="252"/>
      <c r="L67" s="22"/>
      <c r="M67" s="23"/>
    </row>
    <row r="68" spans="2:23" x14ac:dyDescent="0.25">
      <c r="B68" s="10" t="s">
        <v>26</v>
      </c>
      <c r="C68" s="87">
        <f t="shared" si="5"/>
        <v>-1149255</v>
      </c>
      <c r="D68" s="88"/>
      <c r="E68" s="89"/>
      <c r="F68" s="90">
        <v>-1149255</v>
      </c>
      <c r="G68" s="90"/>
      <c r="H68" s="90"/>
      <c r="I68" s="85"/>
      <c r="J68" s="85"/>
      <c r="L68" s="22"/>
      <c r="M68" s="23"/>
    </row>
    <row r="69" spans="2:23" x14ac:dyDescent="0.25">
      <c r="B69" s="86" t="s">
        <v>27</v>
      </c>
      <c r="C69" s="87">
        <f t="shared" si="5"/>
        <v>0</v>
      </c>
      <c r="D69" s="227"/>
      <c r="E69" s="228"/>
      <c r="F69" s="230"/>
      <c r="G69" s="91"/>
      <c r="H69" s="91"/>
      <c r="I69" s="85"/>
      <c r="J69" s="85"/>
      <c r="L69" s="22"/>
      <c r="M69" s="23"/>
    </row>
    <row r="70" spans="2:23" x14ac:dyDescent="0.25">
      <c r="B70" s="86" t="s">
        <v>254</v>
      </c>
      <c r="C70" s="87">
        <f t="shared" si="5"/>
        <v>2683911</v>
      </c>
      <c r="D70" s="88">
        <v>2683911</v>
      </c>
      <c r="E70" s="89"/>
      <c r="F70" s="91"/>
      <c r="G70" s="91"/>
      <c r="H70" s="91"/>
      <c r="I70" s="85"/>
      <c r="J70" s="85"/>
      <c r="L70" s="22"/>
      <c r="M70" s="23"/>
    </row>
    <row r="71" spans="2:23" x14ac:dyDescent="0.25">
      <c r="B71" s="86" t="s">
        <v>27</v>
      </c>
      <c r="C71" s="87">
        <f t="shared" si="5"/>
        <v>0</v>
      </c>
      <c r="D71" s="88"/>
      <c r="E71" s="89"/>
      <c r="F71" s="91"/>
      <c r="G71" s="91"/>
      <c r="H71" s="91"/>
      <c r="I71" s="85"/>
      <c r="J71" s="85"/>
      <c r="L71" s="22"/>
      <c r="M71" s="23"/>
    </row>
    <row r="72" spans="2:23" x14ac:dyDescent="0.25">
      <c r="B72" s="11" t="s">
        <v>157</v>
      </c>
      <c r="C72" s="6">
        <f t="shared" ref="C72:H72" si="6">SUM(C60:C71)</f>
        <v>121093673</v>
      </c>
      <c r="D72" s="51">
        <f t="shared" si="6"/>
        <v>30486335</v>
      </c>
      <c r="E72" s="51">
        <f t="shared" si="6"/>
        <v>15781735</v>
      </c>
      <c r="F72" s="51">
        <f>SUM(F60:F71)</f>
        <v>68265197</v>
      </c>
      <c r="G72" s="51">
        <f t="shared" si="6"/>
        <v>5523348</v>
      </c>
      <c r="H72" s="51">
        <f t="shared" si="6"/>
        <v>1037058</v>
      </c>
      <c r="I72" s="85"/>
      <c r="J72" s="85"/>
      <c r="L72" s="22"/>
      <c r="M72" s="23"/>
    </row>
    <row r="73" spans="2:23" x14ac:dyDescent="0.25">
      <c r="I73" s="85"/>
      <c r="J73" s="85"/>
      <c r="L73" s="22"/>
      <c r="M73" s="23"/>
    </row>
    <row r="74" spans="2:23" x14ac:dyDescent="0.25">
      <c r="B74" s="29" t="s">
        <v>165</v>
      </c>
      <c r="C74" s="62">
        <f t="shared" ref="C74:H74" si="7">+C72-C60</f>
        <v>1728399</v>
      </c>
      <c r="D74" s="62">
        <f t="shared" si="7"/>
        <v>-1555150</v>
      </c>
      <c r="E74" s="62">
        <f t="shared" si="7"/>
        <v>-1472447</v>
      </c>
      <c r="F74" s="19">
        <f t="shared" si="7"/>
        <v>3648813</v>
      </c>
      <c r="G74" s="19">
        <f t="shared" si="7"/>
        <v>1107183</v>
      </c>
      <c r="H74" s="19">
        <f t="shared" si="7"/>
        <v>0</v>
      </c>
      <c r="I74" s="85"/>
      <c r="J74" s="85"/>
      <c r="L74" s="22"/>
      <c r="M74" s="23"/>
    </row>
    <row r="75" spans="2:23" x14ac:dyDescent="0.25">
      <c r="B75" s="52" t="s">
        <v>164</v>
      </c>
      <c r="C75" s="53">
        <f t="shared" ref="C75:H75" si="8">(C74)/C60</f>
        <v>1.4479914820117616E-2</v>
      </c>
      <c r="D75" s="53">
        <f t="shared" si="8"/>
        <v>-4.85355157540295E-2</v>
      </c>
      <c r="E75" s="53">
        <f t="shared" si="8"/>
        <v>-8.5338557342214197E-2</v>
      </c>
      <c r="F75" s="53">
        <f t="shared" si="8"/>
        <v>5.6468851615095017E-2</v>
      </c>
      <c r="G75" s="53">
        <f t="shared" si="8"/>
        <v>0.25071142042926386</v>
      </c>
      <c r="H75" s="53">
        <f t="shared" si="8"/>
        <v>0</v>
      </c>
      <c r="I75" s="85"/>
      <c r="J75" s="85"/>
      <c r="L75" s="22"/>
      <c r="M75" s="23"/>
    </row>
    <row r="76" spans="2:23" x14ac:dyDescent="0.25">
      <c r="B76" s="114"/>
      <c r="I76" s="85"/>
      <c r="J76" s="85"/>
      <c r="K76" s="23"/>
      <c r="L76" s="23"/>
      <c r="M76" s="14"/>
      <c r="N76" s="24"/>
      <c r="V76" s="22"/>
      <c r="W76" s="23"/>
    </row>
    <row r="77" spans="2:23" ht="19.899999999999999" customHeight="1" x14ac:dyDescent="0.3">
      <c r="B77" s="95" t="s">
        <v>163</v>
      </c>
      <c r="C77" s="4"/>
      <c r="D77" s="15"/>
      <c r="E77" s="15"/>
      <c r="G77" s="14"/>
      <c r="I77" s="85"/>
      <c r="J77" s="85"/>
      <c r="V77" s="22"/>
      <c r="W77" s="23"/>
    </row>
    <row r="78" spans="2:23" ht="18.75" x14ac:dyDescent="0.3">
      <c r="B78" s="95"/>
      <c r="C78" s="4"/>
      <c r="D78" s="15"/>
      <c r="E78" s="15"/>
      <c r="V78" s="22"/>
      <c r="W78" s="23"/>
    </row>
    <row r="79" spans="2:23" x14ac:dyDescent="0.25">
      <c r="B79" s="97" t="s">
        <v>28</v>
      </c>
      <c r="C79" s="97" t="s">
        <v>29</v>
      </c>
      <c r="D79" s="97" t="s">
        <v>30</v>
      </c>
      <c r="E79" s="59"/>
      <c r="V79" s="22"/>
      <c r="W79" s="23"/>
    </row>
    <row r="80" spans="2:23" x14ac:dyDescent="0.25">
      <c r="B80" s="5" t="s">
        <v>162</v>
      </c>
      <c r="C80" s="87">
        <v>126863621</v>
      </c>
      <c r="D80" s="7"/>
      <c r="E80" s="58"/>
      <c r="V80" s="22"/>
      <c r="W80" s="23"/>
    </row>
    <row r="81" spans="2:22" x14ac:dyDescent="0.25">
      <c r="B81" s="8" t="s">
        <v>31</v>
      </c>
      <c r="C81" s="92">
        <v>224959</v>
      </c>
      <c r="D81" s="9">
        <f>+C81/C$31</f>
        <v>1.8878135938254659E-3</v>
      </c>
      <c r="E81" s="254"/>
      <c r="F81" s="254"/>
      <c r="G81" s="254"/>
      <c r="H81" s="254"/>
      <c r="V81" s="22"/>
    </row>
    <row r="82" spans="2:22" x14ac:dyDescent="0.25">
      <c r="B82" s="10" t="s">
        <v>32</v>
      </c>
      <c r="C82" s="92">
        <v>3194094</v>
      </c>
      <c r="D82" s="9">
        <f t="shared" ref="D82:D97" si="9">+C82/C$31</f>
        <v>2.6804235763656301E-2</v>
      </c>
      <c r="E82" s="254"/>
      <c r="F82" s="254"/>
      <c r="G82" s="254"/>
      <c r="H82" s="254"/>
      <c r="V82" s="22"/>
    </row>
    <row r="83" spans="2:22" x14ac:dyDescent="0.25">
      <c r="B83" s="10" t="s">
        <v>33</v>
      </c>
      <c r="C83" s="92"/>
      <c r="D83" s="9">
        <f t="shared" si="9"/>
        <v>0</v>
      </c>
      <c r="E83" s="254"/>
      <c r="F83" s="254"/>
      <c r="G83" s="254"/>
      <c r="H83" s="254"/>
      <c r="V83" s="22"/>
    </row>
    <row r="84" spans="2:22" x14ac:dyDescent="0.25">
      <c r="B84" s="10" t="s">
        <v>34</v>
      </c>
      <c r="C84" s="92">
        <v>38216</v>
      </c>
      <c r="D84" s="9">
        <f t="shared" si="9"/>
        <v>3.207014802770016E-4</v>
      </c>
      <c r="E84" s="254"/>
      <c r="F84" s="254"/>
      <c r="G84" s="254"/>
      <c r="H84" s="254"/>
      <c r="V84" s="22"/>
    </row>
    <row r="85" spans="2:22" x14ac:dyDescent="0.25">
      <c r="B85" s="10" t="s">
        <v>35</v>
      </c>
      <c r="C85" s="92"/>
      <c r="D85" s="9">
        <f t="shared" si="9"/>
        <v>0</v>
      </c>
      <c r="E85" s="254"/>
      <c r="F85" s="254"/>
      <c r="G85" s="254"/>
      <c r="H85" s="254"/>
      <c r="V85" s="22"/>
    </row>
    <row r="86" spans="2:22" x14ac:dyDescent="0.25">
      <c r="B86" s="10" t="s">
        <v>36</v>
      </c>
      <c r="C86" s="92">
        <v>-683536</v>
      </c>
      <c r="D86" s="9">
        <f t="shared" si="9"/>
        <v>-5.7361054799722781E-3</v>
      </c>
      <c r="E86" s="254"/>
      <c r="F86" s="254"/>
      <c r="G86" s="254"/>
      <c r="H86" s="254"/>
      <c r="V86" s="22"/>
    </row>
    <row r="87" spans="2:22" x14ac:dyDescent="0.25">
      <c r="B87" s="10" t="s">
        <v>37</v>
      </c>
      <c r="C87" s="92"/>
      <c r="D87" s="9">
        <f t="shared" si="9"/>
        <v>0</v>
      </c>
      <c r="E87" s="254"/>
      <c r="F87" s="254"/>
      <c r="G87" s="254"/>
      <c r="H87" s="254"/>
    </row>
    <row r="88" spans="2:22" x14ac:dyDescent="0.25">
      <c r="B88" s="10" t="s">
        <v>38</v>
      </c>
      <c r="C88" s="92">
        <v>-38155</v>
      </c>
      <c r="D88" s="9">
        <f t="shared" si="9"/>
        <v>-3.201895797563585E-4</v>
      </c>
      <c r="E88" s="254"/>
      <c r="F88" s="254"/>
      <c r="G88" s="254"/>
      <c r="H88" s="254"/>
    </row>
    <row r="89" spans="2:22" x14ac:dyDescent="0.25">
      <c r="B89" s="10" t="s">
        <v>39</v>
      </c>
      <c r="C89" s="92"/>
      <c r="D89" s="9">
        <f t="shared" si="9"/>
        <v>0</v>
      </c>
      <c r="E89" s="254"/>
      <c r="F89" s="254"/>
      <c r="G89" s="254"/>
      <c r="H89" s="254"/>
    </row>
    <row r="90" spans="2:22" x14ac:dyDescent="0.25">
      <c r="B90" s="86" t="s">
        <v>182</v>
      </c>
      <c r="C90" s="92">
        <v>-792070</v>
      </c>
      <c r="D90" s="9">
        <f>+C90/C$31</f>
        <v>-6.6469023833735782E-3</v>
      </c>
      <c r="E90" s="254"/>
      <c r="F90" s="254"/>
      <c r="G90" s="254"/>
      <c r="H90" s="254"/>
    </row>
    <row r="91" spans="2:22" x14ac:dyDescent="0.25">
      <c r="B91" s="86" t="s">
        <v>183</v>
      </c>
      <c r="C91" s="92">
        <v>-3675322</v>
      </c>
      <c r="D91" s="9">
        <f>+C91/C$31</f>
        <v>-3.0842610579197984E-2</v>
      </c>
      <c r="E91" s="254"/>
      <c r="F91" s="254"/>
      <c r="G91" s="254"/>
      <c r="H91" s="254"/>
    </row>
    <row r="92" spans="2:22" x14ac:dyDescent="0.25">
      <c r="B92" s="86" t="s">
        <v>184</v>
      </c>
      <c r="C92" s="92"/>
      <c r="D92" s="9">
        <f t="shared" si="9"/>
        <v>0</v>
      </c>
      <c r="E92" s="254"/>
      <c r="F92" s="254"/>
      <c r="G92" s="254"/>
      <c r="H92" s="254"/>
    </row>
    <row r="93" spans="2:22" x14ac:dyDescent="0.25">
      <c r="B93" s="86" t="s">
        <v>185</v>
      </c>
      <c r="C93" s="92">
        <v>268821</v>
      </c>
      <c r="D93" s="9">
        <f>+C93/C$31</f>
        <v>2.2558952436033037E-3</v>
      </c>
      <c r="E93" s="254"/>
      <c r="F93" s="254"/>
      <c r="G93" s="254"/>
      <c r="H93" s="254"/>
    </row>
    <row r="94" spans="2:22" x14ac:dyDescent="0.25">
      <c r="B94" s="86" t="s">
        <v>242</v>
      </c>
      <c r="C94" s="92">
        <v>-66565</v>
      </c>
      <c r="D94" s="9">
        <f t="shared" ref="D94:D96" si="10">+C94/C$31</f>
        <v>-5.5860095338702669E-4</v>
      </c>
      <c r="E94" s="254"/>
      <c r="F94" s="254"/>
      <c r="G94" s="254"/>
      <c r="H94" s="254"/>
    </row>
    <row r="95" spans="2:22" x14ac:dyDescent="0.25">
      <c r="B95" s="86" t="s">
        <v>243</v>
      </c>
      <c r="C95" s="92">
        <v>504840</v>
      </c>
      <c r="D95" s="9">
        <f t="shared" si="10"/>
        <v>4.236522276089635E-3</v>
      </c>
      <c r="E95" s="254"/>
      <c r="F95" s="254"/>
      <c r="G95" s="254"/>
      <c r="H95" s="254"/>
    </row>
    <row r="96" spans="2:22" x14ac:dyDescent="0.25">
      <c r="B96" s="86" t="s">
        <v>244</v>
      </c>
      <c r="C96" s="92">
        <v>-168480</v>
      </c>
      <c r="D96" s="9">
        <f t="shared" si="10"/>
        <v>-1.4138524543926426E-3</v>
      </c>
      <c r="E96" s="254"/>
      <c r="F96" s="254"/>
      <c r="G96" s="254"/>
      <c r="H96" s="254"/>
    </row>
    <row r="97" spans="2:16" x14ac:dyDescent="0.25">
      <c r="B97" s="86" t="s">
        <v>40</v>
      </c>
      <c r="C97" s="92"/>
      <c r="D97" s="9">
        <f t="shared" si="9"/>
        <v>0</v>
      </c>
      <c r="E97" s="254"/>
      <c r="F97" s="254"/>
      <c r="G97" s="254"/>
      <c r="H97" s="254"/>
    </row>
    <row r="98" spans="2:16" x14ac:dyDescent="0.25">
      <c r="B98" s="11" t="s">
        <v>157</v>
      </c>
      <c r="C98" s="12">
        <f>SUM(C80:C97)</f>
        <v>125670423</v>
      </c>
      <c r="D98" s="13">
        <f>SUM(D81:D97)</f>
        <v>-1.0013093072628165E-2</v>
      </c>
      <c r="E98" s="254"/>
      <c r="F98" s="254"/>
      <c r="G98" s="254"/>
      <c r="H98" s="254"/>
    </row>
    <row r="99" spans="2:16" x14ac:dyDescent="0.25">
      <c r="E99" s="55"/>
    </row>
    <row r="100" spans="2:16" x14ac:dyDescent="0.25">
      <c r="B100" s="29" t="s">
        <v>165</v>
      </c>
      <c r="C100" s="62">
        <f>+C98-C80</f>
        <v>-1193198</v>
      </c>
      <c r="E100" s="55"/>
    </row>
    <row r="101" spans="2:16" x14ac:dyDescent="0.25">
      <c r="B101" s="52" t="s">
        <v>164</v>
      </c>
      <c r="C101" s="53">
        <f>(C100)/C80</f>
        <v>-9.405359791835044E-3</v>
      </c>
      <c r="E101" s="55"/>
    </row>
    <row r="102" spans="2:16" x14ac:dyDescent="0.25">
      <c r="B102" s="114"/>
      <c r="C102" s="58"/>
      <c r="D102" s="58"/>
      <c r="E102" s="58"/>
      <c r="F102" s="58"/>
      <c r="G102" s="58"/>
      <c r="H102" s="58"/>
      <c r="O102" s="22"/>
      <c r="P102" s="23"/>
    </row>
  </sheetData>
  <mergeCells count="7">
    <mergeCell ref="A61:A64"/>
    <mergeCell ref="B2:O2"/>
    <mergeCell ref="B3:O3"/>
    <mergeCell ref="B6:O6"/>
    <mergeCell ref="B4:O4"/>
    <mergeCell ref="B54:O54"/>
    <mergeCell ref="A12:A19"/>
  </mergeCells>
  <pageMargins left="0.7" right="0.7" top="0.5" bottom="0.5" header="0.3" footer="0.3"/>
  <pageSetup scale="48" fitToHeight="4" orientation="landscape" r:id="rId1"/>
  <headerFooter>
    <oddFooter>&amp;L&amp;D&amp;R&amp;F,&amp;A</oddFooter>
  </headerFooter>
  <rowBreaks count="1" manualBreakCount="1">
    <brk id="5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rgb="FF00B050"/>
    <pageSetUpPr fitToPage="1"/>
  </sheetPr>
  <dimension ref="B2:O87"/>
  <sheetViews>
    <sheetView showGridLines="0" topLeftCell="A48" zoomScale="90" zoomScaleNormal="90" workbookViewId="0">
      <selection activeCell="K54" sqref="K54"/>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0" customWidth="1"/>
    <col min="9" max="11" width="17.7109375" style="1" customWidth="1"/>
    <col min="12" max="12" width="13.28515625" style="1" bestFit="1" customWidth="1"/>
    <col min="13" max="13" width="14.5703125" style="1" bestFit="1" customWidth="1"/>
    <col min="14" max="15" width="13.28515625" style="1" bestFit="1" customWidth="1"/>
    <col min="16" max="16384" width="8.85546875" style="1"/>
  </cols>
  <sheetData>
    <row r="2" spans="2:9" x14ac:dyDescent="0.25">
      <c r="B2" s="262" t="s">
        <v>43</v>
      </c>
      <c r="C2" s="262"/>
      <c r="D2" s="262"/>
      <c r="E2" s="262"/>
      <c r="F2" s="262"/>
      <c r="G2" s="262"/>
      <c r="H2" s="262"/>
      <c r="I2" s="262"/>
    </row>
    <row r="3" spans="2:9" ht="18.75" x14ac:dyDescent="0.3">
      <c r="B3" s="296" t="s">
        <v>9</v>
      </c>
      <c r="C3" s="297"/>
      <c r="D3" s="297"/>
      <c r="E3" s="297"/>
      <c r="F3" s="297"/>
      <c r="G3" s="297"/>
      <c r="H3" s="297"/>
      <c r="I3" s="298"/>
    </row>
    <row r="4" spans="2:9" ht="18.75" x14ac:dyDescent="0.3">
      <c r="B4" s="299" t="s">
        <v>44</v>
      </c>
      <c r="C4" s="300"/>
      <c r="D4" s="300"/>
      <c r="E4" s="300"/>
      <c r="F4" s="300"/>
      <c r="G4" s="300"/>
      <c r="H4" s="300"/>
      <c r="I4" s="301"/>
    </row>
    <row r="5" spans="2:9" ht="34.9" customHeight="1" x14ac:dyDescent="0.25">
      <c r="B5" s="295" t="s">
        <v>45</v>
      </c>
      <c r="C5" s="295"/>
      <c r="D5" s="295"/>
      <c r="E5" s="295"/>
      <c r="F5" s="295"/>
      <c r="G5" s="295"/>
      <c r="H5" s="115"/>
    </row>
    <row r="6" spans="2:9" x14ac:dyDescent="0.25">
      <c r="B6" s="116"/>
      <c r="C6" s="116"/>
      <c r="D6" s="116"/>
      <c r="E6" s="116"/>
      <c r="F6" s="116"/>
      <c r="G6" s="116"/>
      <c r="H6" s="115"/>
    </row>
    <row r="7" spans="2:9" ht="29.45" customHeight="1" x14ac:dyDescent="0.25">
      <c r="B7" s="302" t="s">
        <v>180</v>
      </c>
      <c r="C7" s="303"/>
      <c r="D7" s="303"/>
      <c r="E7" s="303"/>
      <c r="F7" s="304"/>
      <c r="H7" s="1"/>
    </row>
    <row r="8" spans="2:9" x14ac:dyDescent="0.25">
      <c r="B8" s="305" t="s">
        <v>46</v>
      </c>
      <c r="C8" s="306"/>
      <c r="D8" s="306"/>
      <c r="E8" s="306"/>
      <c r="F8" s="307"/>
      <c r="H8" s="1"/>
    </row>
    <row r="9" spans="2:9" ht="42.75" customHeight="1" x14ac:dyDescent="0.25">
      <c r="B9" s="3" t="s">
        <v>47</v>
      </c>
      <c r="C9" s="48" t="s">
        <v>48</v>
      </c>
      <c r="D9" s="48" t="s">
        <v>49</v>
      </c>
      <c r="E9" s="48" t="s">
        <v>166</v>
      </c>
      <c r="F9" s="48" t="s">
        <v>167</v>
      </c>
      <c r="H9" s="1"/>
    </row>
    <row r="10" spans="2:9" x14ac:dyDescent="0.25">
      <c r="B10" s="3"/>
      <c r="C10" s="3"/>
      <c r="D10" s="48"/>
      <c r="E10" s="3"/>
      <c r="F10" s="48"/>
      <c r="H10" s="1"/>
    </row>
    <row r="11" spans="2:9" x14ac:dyDescent="0.25">
      <c r="B11" s="3" t="s">
        <v>50</v>
      </c>
      <c r="C11" s="137">
        <v>1497117.2770842537</v>
      </c>
      <c r="D11" s="205">
        <v>3.5900000000000001E-2</v>
      </c>
      <c r="E11" s="137">
        <v>5417402.0653080121</v>
      </c>
      <c r="F11" s="205">
        <v>0.1101</v>
      </c>
      <c r="H11" s="1"/>
    </row>
    <row r="12" spans="2:9" x14ac:dyDescent="0.25">
      <c r="B12" s="3" t="s">
        <v>51</v>
      </c>
      <c r="C12" s="137">
        <v>5670690.2272820175</v>
      </c>
      <c r="D12" s="205">
        <v>3.5900000000000001E-2</v>
      </c>
      <c r="E12" s="137">
        <v>17253113.736555159</v>
      </c>
      <c r="F12" s="205">
        <v>0.1101</v>
      </c>
      <c r="H12" s="1"/>
    </row>
    <row r="13" spans="2:9" x14ac:dyDescent="0.25">
      <c r="B13" s="3" t="s">
        <v>52</v>
      </c>
      <c r="C13" s="137">
        <v>0</v>
      </c>
      <c r="D13" s="205">
        <v>0</v>
      </c>
      <c r="E13" s="137">
        <v>0</v>
      </c>
      <c r="F13" s="205">
        <v>0</v>
      </c>
      <c r="H13" s="1"/>
    </row>
    <row r="14" spans="2:9" x14ac:dyDescent="0.25">
      <c r="B14" s="3" t="s">
        <v>27</v>
      </c>
      <c r="C14" s="137">
        <v>0</v>
      </c>
      <c r="D14" s="205">
        <v>0</v>
      </c>
      <c r="E14" s="137">
        <v>0</v>
      </c>
      <c r="F14" s="205">
        <v>0</v>
      </c>
      <c r="H14" s="1"/>
    </row>
    <row r="15" spans="2:9" ht="30" x14ac:dyDescent="0.25">
      <c r="B15" s="57" t="s">
        <v>53</v>
      </c>
      <c r="C15" s="138">
        <f>SUM(C11:C14)</f>
        <v>7167807.5043662712</v>
      </c>
      <c r="D15" s="206">
        <v>0.03</v>
      </c>
      <c r="E15" s="138">
        <f>SUM(E11:E14)</f>
        <v>22670515.801863171</v>
      </c>
      <c r="F15" s="206">
        <v>9.4E-2</v>
      </c>
      <c r="G15" s="211"/>
      <c r="H15" s="1"/>
    </row>
    <row r="16" spans="2:9" s="60" customFormat="1" x14ac:dyDescent="0.25">
      <c r="B16" s="117"/>
      <c r="C16" s="61"/>
      <c r="D16" s="61"/>
      <c r="E16" s="61"/>
      <c r="F16" s="61"/>
      <c r="G16" s="61"/>
      <c r="H16" s="61"/>
    </row>
    <row r="17" spans="2:11" s="60" customFormat="1" hidden="1" x14ac:dyDescent="0.25">
      <c r="B17" s="302" t="s">
        <v>190</v>
      </c>
      <c r="C17" s="303"/>
      <c r="D17" s="303"/>
      <c r="E17" s="303"/>
      <c r="F17" s="304"/>
      <c r="G17" s="178"/>
      <c r="H17" s="178"/>
      <c r="I17" s="108"/>
      <c r="J17" s="108"/>
      <c r="K17" s="108"/>
    </row>
    <row r="18" spans="2:11" s="60" customFormat="1" hidden="1" x14ac:dyDescent="0.25">
      <c r="B18" s="305" t="s">
        <v>200</v>
      </c>
      <c r="C18" s="306"/>
      <c r="D18" s="306"/>
      <c r="E18" s="306"/>
      <c r="F18" s="307"/>
      <c r="G18" s="178"/>
      <c r="H18" s="178"/>
      <c r="I18" s="108"/>
      <c r="J18" s="108"/>
      <c r="K18" s="108"/>
    </row>
    <row r="19" spans="2:11" s="60" customFormat="1" hidden="1" x14ac:dyDescent="0.25">
      <c r="B19" s="3" t="s">
        <v>47</v>
      </c>
      <c r="C19" s="48" t="s">
        <v>191</v>
      </c>
      <c r="D19" s="48" t="s">
        <v>192</v>
      </c>
      <c r="E19" s="48" t="s">
        <v>193</v>
      </c>
      <c r="F19" s="48" t="s">
        <v>194</v>
      </c>
      <c r="G19" s="178"/>
      <c r="H19" s="178"/>
      <c r="I19" s="108"/>
      <c r="J19" s="108"/>
      <c r="K19" s="108"/>
    </row>
    <row r="20" spans="2:11" s="60" customFormat="1" hidden="1" x14ac:dyDescent="0.25">
      <c r="B20" s="3"/>
      <c r="C20" s="3"/>
      <c r="D20" s="48"/>
      <c r="E20" s="3"/>
      <c r="F20" s="48"/>
      <c r="G20" s="178"/>
      <c r="H20" s="178"/>
      <c r="I20" s="108"/>
      <c r="J20" s="108"/>
      <c r="K20" s="108"/>
    </row>
    <row r="21" spans="2:11" s="60" customFormat="1" hidden="1" x14ac:dyDescent="0.25">
      <c r="B21" s="3" t="s">
        <v>50</v>
      </c>
      <c r="C21" s="137">
        <v>0</v>
      </c>
      <c r="D21" s="137">
        <v>0</v>
      </c>
      <c r="E21" s="137">
        <v>0</v>
      </c>
      <c r="F21" s="137">
        <v>0</v>
      </c>
      <c r="G21" s="178"/>
      <c r="H21" s="178"/>
      <c r="I21" s="108"/>
      <c r="J21" s="108"/>
      <c r="K21" s="108"/>
    </row>
    <row r="22" spans="2:11" s="60" customFormat="1" hidden="1" x14ac:dyDescent="0.25">
      <c r="B22" s="3" t="s">
        <v>51</v>
      </c>
      <c r="C22" s="137">
        <v>0</v>
      </c>
      <c r="D22" s="137">
        <v>0</v>
      </c>
      <c r="E22" s="137">
        <v>0</v>
      </c>
      <c r="F22" s="137">
        <v>0</v>
      </c>
      <c r="G22" s="178"/>
      <c r="H22" s="178"/>
      <c r="I22" s="108"/>
      <c r="J22" s="108"/>
      <c r="K22" s="108"/>
    </row>
    <row r="23" spans="2:11" s="60" customFormat="1" hidden="1" x14ac:dyDescent="0.25">
      <c r="B23" s="3" t="s">
        <v>52</v>
      </c>
      <c r="C23" s="137">
        <v>0</v>
      </c>
      <c r="D23" s="137">
        <v>0</v>
      </c>
      <c r="E23" s="137">
        <v>0</v>
      </c>
      <c r="F23" s="137">
        <v>0</v>
      </c>
      <c r="G23" s="178"/>
      <c r="H23" s="178"/>
      <c r="I23" s="108"/>
      <c r="J23" s="108"/>
      <c r="K23" s="108"/>
    </row>
    <row r="24" spans="2:11" s="60" customFormat="1" hidden="1" x14ac:dyDescent="0.25">
      <c r="B24" s="3" t="s">
        <v>27</v>
      </c>
      <c r="C24" s="137">
        <v>0</v>
      </c>
      <c r="D24" s="137">
        <v>0</v>
      </c>
      <c r="E24" s="137">
        <v>0</v>
      </c>
      <c r="F24" s="137">
        <v>0</v>
      </c>
      <c r="G24" s="178"/>
      <c r="H24" s="178"/>
      <c r="I24" s="108"/>
      <c r="J24" s="108"/>
      <c r="K24" s="108"/>
    </row>
    <row r="25" spans="2:11" s="60" customFormat="1" ht="30" hidden="1" x14ac:dyDescent="0.25">
      <c r="B25" s="57" t="s">
        <v>53</v>
      </c>
      <c r="C25" s="138">
        <f>SUM(C21:C24)</f>
        <v>0</v>
      </c>
      <c r="D25" s="138">
        <v>0</v>
      </c>
      <c r="E25" s="138">
        <f>SUM(E21:E24)</f>
        <v>0</v>
      </c>
      <c r="F25" s="138">
        <v>0</v>
      </c>
      <c r="G25" s="178"/>
      <c r="H25" s="178"/>
      <c r="I25" s="108"/>
      <c r="J25" s="108"/>
      <c r="K25" s="108"/>
    </row>
    <row r="26" spans="2:11" s="60" customFormat="1" hidden="1" x14ac:dyDescent="0.25">
      <c r="B26" s="117"/>
      <c r="C26" s="61"/>
      <c r="D26" s="61"/>
      <c r="E26" s="61"/>
      <c r="F26" s="61"/>
      <c r="G26" s="178"/>
      <c r="H26" s="178"/>
      <c r="I26" s="108"/>
      <c r="J26" s="108"/>
      <c r="K26" s="108"/>
    </row>
    <row r="27" spans="2:11" s="60" customFormat="1" hidden="1" x14ac:dyDescent="0.25">
      <c r="B27" s="302" t="s">
        <v>195</v>
      </c>
      <c r="C27" s="303"/>
      <c r="D27" s="303"/>
      <c r="E27" s="303"/>
      <c r="F27" s="304"/>
      <c r="G27" s="178"/>
      <c r="H27" s="178"/>
      <c r="I27" s="108"/>
      <c r="J27" s="108"/>
      <c r="K27" s="108"/>
    </row>
    <row r="28" spans="2:11" s="60" customFormat="1" hidden="1" x14ac:dyDescent="0.25">
      <c r="B28" s="305" t="s">
        <v>201</v>
      </c>
      <c r="C28" s="306"/>
      <c r="D28" s="306"/>
      <c r="E28" s="306"/>
      <c r="F28" s="307"/>
      <c r="G28" s="178"/>
      <c r="H28" s="178"/>
      <c r="I28" s="108"/>
      <c r="J28" s="108"/>
      <c r="K28" s="108"/>
    </row>
    <row r="29" spans="2:11" s="60" customFormat="1" hidden="1" x14ac:dyDescent="0.25">
      <c r="B29" s="3" t="s">
        <v>47</v>
      </c>
      <c r="C29" s="48" t="s">
        <v>196</v>
      </c>
      <c r="D29" s="48" t="s">
        <v>197</v>
      </c>
      <c r="E29" s="48" t="s">
        <v>198</v>
      </c>
      <c r="F29" s="48" t="s">
        <v>199</v>
      </c>
      <c r="G29" s="178"/>
      <c r="H29" s="178"/>
      <c r="I29" s="108"/>
      <c r="J29" s="108"/>
      <c r="K29" s="108"/>
    </row>
    <row r="30" spans="2:11" s="60" customFormat="1" hidden="1" x14ac:dyDescent="0.25">
      <c r="B30" s="3"/>
      <c r="C30" s="3"/>
      <c r="D30" s="48"/>
      <c r="E30" s="3"/>
      <c r="F30" s="48"/>
      <c r="G30" s="178"/>
      <c r="H30" s="178"/>
      <c r="I30" s="108"/>
      <c r="J30" s="108"/>
      <c r="K30" s="108"/>
    </row>
    <row r="31" spans="2:11" s="60" customFormat="1" hidden="1" x14ac:dyDescent="0.25">
      <c r="B31" s="3" t="s">
        <v>50</v>
      </c>
      <c r="C31" s="137">
        <v>0</v>
      </c>
      <c r="D31" s="137">
        <v>0</v>
      </c>
      <c r="E31" s="137">
        <v>0</v>
      </c>
      <c r="F31" s="137">
        <v>0</v>
      </c>
      <c r="G31" s="178"/>
      <c r="H31" s="178"/>
      <c r="I31" s="108"/>
      <c r="J31" s="108"/>
      <c r="K31" s="108"/>
    </row>
    <row r="32" spans="2:11" s="60" customFormat="1" hidden="1" x14ac:dyDescent="0.25">
      <c r="B32" s="3" t="s">
        <v>51</v>
      </c>
      <c r="C32" s="137">
        <v>0</v>
      </c>
      <c r="D32" s="137">
        <v>0</v>
      </c>
      <c r="E32" s="137">
        <v>0</v>
      </c>
      <c r="F32" s="137">
        <v>0</v>
      </c>
      <c r="G32" s="178"/>
      <c r="H32" s="178"/>
      <c r="I32" s="108"/>
      <c r="J32" s="108"/>
      <c r="K32" s="108"/>
    </row>
    <row r="33" spans="2:11" s="60" customFormat="1" hidden="1" x14ac:dyDescent="0.25">
      <c r="B33" s="3" t="s">
        <v>52</v>
      </c>
      <c r="C33" s="137">
        <v>0</v>
      </c>
      <c r="D33" s="137">
        <v>0</v>
      </c>
      <c r="E33" s="137">
        <v>0</v>
      </c>
      <c r="F33" s="137">
        <v>0</v>
      </c>
      <c r="G33" s="178"/>
      <c r="H33" s="178"/>
      <c r="I33" s="108"/>
      <c r="J33" s="108"/>
      <c r="K33" s="108"/>
    </row>
    <row r="34" spans="2:11" s="60" customFormat="1" hidden="1" x14ac:dyDescent="0.25">
      <c r="B34" s="3" t="s">
        <v>27</v>
      </c>
      <c r="C34" s="137">
        <v>0</v>
      </c>
      <c r="D34" s="137">
        <v>0</v>
      </c>
      <c r="E34" s="137">
        <v>0</v>
      </c>
      <c r="F34" s="137">
        <v>0</v>
      </c>
      <c r="G34" s="178"/>
      <c r="H34" s="178"/>
      <c r="I34" s="108"/>
      <c r="J34" s="108"/>
      <c r="K34" s="108"/>
    </row>
    <row r="35" spans="2:11" s="60" customFormat="1" ht="30" hidden="1" x14ac:dyDescent="0.25">
      <c r="B35" s="57" t="s">
        <v>53</v>
      </c>
      <c r="C35" s="138">
        <f>SUM(C31:C34)</f>
        <v>0</v>
      </c>
      <c r="D35" s="138">
        <v>0</v>
      </c>
      <c r="E35" s="138">
        <f>SUM(E31:E34)</f>
        <v>0</v>
      </c>
      <c r="F35" s="138">
        <v>0</v>
      </c>
      <c r="G35" s="178"/>
      <c r="H35" s="178"/>
      <c r="I35" s="108"/>
      <c r="J35" s="108"/>
      <c r="K35" s="108"/>
    </row>
    <row r="36" spans="2:11" s="60" customFormat="1" x14ac:dyDescent="0.25">
      <c r="B36" s="117"/>
      <c r="C36" s="61"/>
      <c r="D36" s="61"/>
      <c r="E36" s="61"/>
      <c r="F36" s="61"/>
      <c r="G36" s="61"/>
      <c r="H36" s="61"/>
    </row>
    <row r="37" spans="2:11" ht="45" customHeight="1" x14ac:dyDescent="0.25">
      <c r="B37" s="290" t="s">
        <v>54</v>
      </c>
      <c r="C37" s="291"/>
      <c r="D37" s="291"/>
      <c r="E37" s="291"/>
      <c r="F37" s="291"/>
      <c r="G37" s="291"/>
      <c r="H37" s="291"/>
      <c r="I37" s="291"/>
      <c r="J37" s="292"/>
    </row>
    <row r="38" spans="2:11" x14ac:dyDescent="0.25">
      <c r="B38" s="279" t="s">
        <v>55</v>
      </c>
      <c r="C38" s="280"/>
      <c r="D38" s="280"/>
      <c r="E38" s="280"/>
      <c r="F38" s="280"/>
      <c r="G38" s="280"/>
      <c r="H38" s="280"/>
      <c r="I38" s="280"/>
      <c r="J38" s="281"/>
    </row>
    <row r="39" spans="2:11" ht="42.75" customHeight="1" x14ac:dyDescent="0.25">
      <c r="B39" s="3" t="s">
        <v>47</v>
      </c>
      <c r="C39" s="48" t="s">
        <v>168</v>
      </c>
      <c r="D39" s="48" t="s">
        <v>56</v>
      </c>
      <c r="E39" s="48" t="s">
        <v>169</v>
      </c>
      <c r="F39" s="288" t="s">
        <v>57</v>
      </c>
      <c r="G39" s="289"/>
      <c r="H39" s="118" t="s">
        <v>58</v>
      </c>
      <c r="I39" s="118" t="s">
        <v>59</v>
      </c>
      <c r="J39" s="118" t="s">
        <v>60</v>
      </c>
    </row>
    <row r="40" spans="2:11" x14ac:dyDescent="0.25">
      <c r="B40" s="3"/>
      <c r="C40" s="48"/>
      <c r="D40" s="119"/>
      <c r="E40" s="48"/>
      <c r="F40" s="48" t="s">
        <v>61</v>
      </c>
      <c r="G40" s="48" t="s">
        <v>62</v>
      </c>
      <c r="H40" s="48"/>
      <c r="I40" s="48"/>
      <c r="J40" s="48"/>
    </row>
    <row r="41" spans="2:11" x14ac:dyDescent="0.25">
      <c r="B41" s="3" t="s">
        <v>50</v>
      </c>
      <c r="C41" s="120">
        <f>42863328+336220</f>
        <v>43199548</v>
      </c>
      <c r="D41" s="121">
        <f>(E41/C41)-1</f>
        <v>0.2644062849916855</v>
      </c>
      <c r="E41" s="80">
        <f>53893851+727929</f>
        <v>54621780</v>
      </c>
      <c r="F41" s="80">
        <f>22489398-H41</f>
        <v>21805810</v>
      </c>
      <c r="G41" s="80">
        <v>0</v>
      </c>
      <c r="H41" s="80">
        <v>683588</v>
      </c>
      <c r="I41" s="80">
        <v>9069955</v>
      </c>
      <c r="J41" s="80">
        <f>22334498+727929</f>
        <v>23062427</v>
      </c>
    </row>
    <row r="42" spans="2:11" x14ac:dyDescent="0.25">
      <c r="B42" s="3" t="s">
        <v>51</v>
      </c>
      <c r="C42" s="120">
        <v>163628635</v>
      </c>
      <c r="D42" s="121">
        <f>(E42/C42)-1</f>
        <v>6.3121647381584545E-2</v>
      </c>
      <c r="E42" s="80">
        <f>173957144</f>
        <v>173957144</v>
      </c>
      <c r="F42" s="80">
        <f>89500506-H42</f>
        <v>85185715</v>
      </c>
      <c r="G42" s="80">
        <v>0</v>
      </c>
      <c r="H42" s="80">
        <v>4314791</v>
      </c>
      <c r="I42" s="80">
        <v>38797558</v>
      </c>
      <c r="J42" s="80">
        <v>45659080</v>
      </c>
      <c r="K42" s="113"/>
    </row>
    <row r="43" spans="2:11" x14ac:dyDescent="0.25">
      <c r="B43" s="3" t="s">
        <v>52</v>
      </c>
      <c r="C43" s="120">
        <f>39034023-8701114</f>
        <v>30332909</v>
      </c>
      <c r="D43" s="121">
        <f>(E43/C43)-1</f>
        <v>0.15779818546252855</v>
      </c>
      <c r="E43" s="80">
        <v>35119387</v>
      </c>
      <c r="F43" s="80">
        <f>19121862-H43</f>
        <v>18596893</v>
      </c>
      <c r="G43" s="80">
        <v>0</v>
      </c>
      <c r="H43" s="80">
        <v>524969</v>
      </c>
      <c r="I43" s="80">
        <v>7974252</v>
      </c>
      <c r="J43" s="80">
        <v>8023273</v>
      </c>
    </row>
    <row r="44" spans="2:11" x14ac:dyDescent="0.25">
      <c r="B44" s="3" t="s">
        <v>240</v>
      </c>
      <c r="C44" s="120">
        <v>8701114</v>
      </c>
      <c r="D44" s="121"/>
      <c r="E44" s="80">
        <f>SUM(F44:J44)</f>
        <v>0</v>
      </c>
      <c r="F44" s="80"/>
      <c r="G44" s="80"/>
      <c r="H44" s="80"/>
      <c r="I44" s="80"/>
      <c r="J44" s="80"/>
    </row>
    <row r="45" spans="2:11" ht="30" x14ac:dyDescent="0.25">
      <c r="B45" s="57" t="s">
        <v>63</v>
      </c>
      <c r="C45" s="122">
        <f>SUM(C41:C44)</f>
        <v>245862206</v>
      </c>
      <c r="D45" s="123">
        <v>0</v>
      </c>
      <c r="E45" s="122">
        <f t="shared" ref="E45:J45" si="0">SUM(E41:E44)</f>
        <v>263698311</v>
      </c>
      <c r="F45" s="81">
        <f t="shared" si="0"/>
        <v>125588418</v>
      </c>
      <c r="G45" s="81">
        <f t="shared" si="0"/>
        <v>0</v>
      </c>
      <c r="H45" s="81">
        <f t="shared" si="0"/>
        <v>5523348</v>
      </c>
      <c r="I45" s="81">
        <f t="shared" si="0"/>
        <v>55841765</v>
      </c>
      <c r="J45" s="81">
        <f t="shared" si="0"/>
        <v>76744780</v>
      </c>
    </row>
    <row r="46" spans="2:11" s="60" customFormat="1" x14ac:dyDescent="0.25">
      <c r="B46" s="117"/>
      <c r="C46" s="61" t="s">
        <v>64</v>
      </c>
      <c r="D46" s="61"/>
      <c r="E46" s="61" t="s">
        <v>64</v>
      </c>
      <c r="F46" s="61"/>
      <c r="G46" s="61"/>
      <c r="H46" s="61"/>
    </row>
    <row r="47" spans="2:11" s="60" customFormat="1" x14ac:dyDescent="0.25">
      <c r="B47" s="117"/>
      <c r="C47" s="61"/>
      <c r="D47" s="61"/>
      <c r="E47" s="61"/>
      <c r="F47" s="61"/>
      <c r="G47" s="61"/>
      <c r="H47" s="61"/>
    </row>
    <row r="48" spans="2:11" s="60" customFormat="1" ht="23.45" customHeight="1" x14ac:dyDescent="0.25">
      <c r="B48" s="290" t="s">
        <v>181</v>
      </c>
      <c r="C48" s="291"/>
      <c r="D48" s="291"/>
      <c r="E48" s="291"/>
      <c r="F48" s="291"/>
      <c r="G48" s="291"/>
      <c r="H48" s="291"/>
      <c r="I48" s="291"/>
      <c r="J48" s="292"/>
    </row>
    <row r="49" spans="2:15" x14ac:dyDescent="0.25">
      <c r="B49" s="279" t="s">
        <v>65</v>
      </c>
      <c r="C49" s="280"/>
      <c r="D49" s="280"/>
      <c r="E49" s="280"/>
      <c r="F49" s="280"/>
      <c r="G49" s="280"/>
      <c r="H49" s="280"/>
      <c r="I49" s="280"/>
      <c r="J49" s="281"/>
    </row>
    <row r="50" spans="2:15" ht="42.75" customHeight="1" x14ac:dyDescent="0.25">
      <c r="B50" s="3" t="s">
        <v>66</v>
      </c>
      <c r="C50" s="3" t="s">
        <v>68</v>
      </c>
      <c r="D50" s="48" t="s">
        <v>67</v>
      </c>
      <c r="E50" s="48" t="s">
        <v>170</v>
      </c>
      <c r="F50" s="293" t="s">
        <v>69</v>
      </c>
      <c r="G50" s="294"/>
      <c r="H50" s="48" t="s">
        <v>70</v>
      </c>
      <c r="I50" s="48" t="s">
        <v>71</v>
      </c>
      <c r="J50" s="48" t="s">
        <v>72</v>
      </c>
    </row>
    <row r="51" spans="2:15" ht="15.75" customHeight="1" x14ac:dyDescent="0.25">
      <c r="B51" s="3"/>
      <c r="C51" s="3"/>
      <c r="D51" s="3"/>
      <c r="E51" s="48"/>
      <c r="F51" s="48" t="s">
        <v>61</v>
      </c>
      <c r="G51" s="48" t="s">
        <v>62</v>
      </c>
      <c r="H51" s="48"/>
      <c r="I51" s="48"/>
      <c r="J51" s="48"/>
    </row>
    <row r="52" spans="2:15" x14ac:dyDescent="0.25">
      <c r="B52" s="3" t="s">
        <v>50</v>
      </c>
      <c r="C52" s="120">
        <f>C41-19794809</f>
        <v>23404739</v>
      </c>
      <c r="D52" s="120">
        <f>E52-C52</f>
        <v>9900826</v>
      </c>
      <c r="E52" s="207">
        <f>E41-21316215</f>
        <v>33305565</v>
      </c>
      <c r="F52" s="207">
        <f>F41-6135199</f>
        <v>15670611</v>
      </c>
      <c r="G52" s="207">
        <v>0</v>
      </c>
      <c r="H52" s="207">
        <f>H41</f>
        <v>683588</v>
      </c>
      <c r="I52" s="207">
        <f>I41-7179274</f>
        <v>1890681</v>
      </c>
      <c r="J52" s="207">
        <f>J41-8001742</f>
        <v>15060685</v>
      </c>
      <c r="K52" s="210"/>
      <c r="L52" s="210"/>
      <c r="M52" s="210"/>
      <c r="N52" s="210"/>
      <c r="O52" s="210"/>
    </row>
    <row r="53" spans="2:15" x14ac:dyDescent="0.25">
      <c r="B53" s="3" t="s">
        <v>51</v>
      </c>
      <c r="C53" s="120">
        <f>C42-99533301</f>
        <v>64095334</v>
      </c>
      <c r="D53" s="120">
        <f t="shared" ref="D53:D58" si="1">E53-C53</f>
        <v>571963</v>
      </c>
      <c r="E53" s="207">
        <f>E42-109289847</f>
        <v>64667297</v>
      </c>
      <c r="F53" s="207">
        <f>F42-33404341</f>
        <v>51781374</v>
      </c>
      <c r="G53" s="207">
        <v>0</v>
      </c>
      <c r="H53" s="207">
        <f>H42</f>
        <v>4314791</v>
      </c>
      <c r="I53" s="207">
        <f>I42-36359062</f>
        <v>2438496</v>
      </c>
      <c r="J53" s="207">
        <f>J42-39526444</f>
        <v>6132636</v>
      </c>
      <c r="K53" s="210"/>
      <c r="L53" s="210"/>
      <c r="M53" s="210"/>
      <c r="N53" s="210"/>
      <c r="O53" s="210"/>
    </row>
    <row r="54" spans="2:15" x14ac:dyDescent="0.25">
      <c r="B54" s="3" t="s">
        <v>52</v>
      </c>
      <c r="C54" s="120">
        <f>14214727-117102-468408-4409601</f>
        <v>9219616</v>
      </c>
      <c r="D54" s="120">
        <f t="shared" si="1"/>
        <v>2030278</v>
      </c>
      <c r="E54" s="207">
        <f>E43-23869493</f>
        <v>11249894</v>
      </c>
      <c r="F54" s="207">
        <f>F43-9520689</f>
        <v>9076204</v>
      </c>
      <c r="G54" s="207">
        <v>0</v>
      </c>
      <c r="H54" s="207">
        <f>H43-494334</f>
        <v>30635</v>
      </c>
      <c r="I54" s="207">
        <f>I43-7146784</f>
        <v>827468</v>
      </c>
      <c r="J54" s="207">
        <f>J43-6707686</f>
        <v>1315587</v>
      </c>
    </row>
    <row r="55" spans="2:15" x14ac:dyDescent="0.25">
      <c r="B55" s="3" t="s">
        <v>240</v>
      </c>
      <c r="C55" s="120">
        <v>4409601</v>
      </c>
      <c r="D55" s="120">
        <f t="shared" si="1"/>
        <v>-4409601</v>
      </c>
      <c r="E55" s="207">
        <v>0</v>
      </c>
      <c r="F55" s="207">
        <v>0</v>
      </c>
      <c r="G55" s="207">
        <v>0</v>
      </c>
      <c r="H55" s="207">
        <v>0</v>
      </c>
      <c r="I55" s="207">
        <v>0</v>
      </c>
      <c r="J55" s="207">
        <v>0</v>
      </c>
    </row>
    <row r="56" spans="2:15" x14ac:dyDescent="0.25">
      <c r="B56" s="3" t="s">
        <v>221</v>
      </c>
      <c r="C56" s="120">
        <f>-9314405+117102+468408</f>
        <v>-8728895</v>
      </c>
      <c r="D56" s="208">
        <f t="shared" si="1"/>
        <v>960237</v>
      </c>
      <c r="E56" s="207">
        <v>-7768658</v>
      </c>
      <c r="F56" s="207"/>
      <c r="G56" s="207"/>
      <c r="H56" s="207">
        <v>-7768658</v>
      </c>
      <c r="I56" s="207"/>
      <c r="J56" s="207"/>
    </row>
    <row r="57" spans="2:15" x14ac:dyDescent="0.25">
      <c r="B57" s="3" t="s">
        <v>18</v>
      </c>
      <c r="C57" s="120">
        <v>1047564</v>
      </c>
      <c r="D57" s="208">
        <f t="shared" si="1"/>
        <v>-10506</v>
      </c>
      <c r="E57" s="207">
        <v>1037058</v>
      </c>
      <c r="F57" s="207"/>
      <c r="G57" s="207"/>
      <c r="H57" s="207"/>
      <c r="I57" s="207">
        <v>1037058</v>
      </c>
      <c r="J57" s="207"/>
    </row>
    <row r="58" spans="2:15" x14ac:dyDescent="0.25">
      <c r="B58" s="3" t="s">
        <v>241</v>
      </c>
      <c r="C58" s="208">
        <v>2</v>
      </c>
      <c r="D58" s="208">
        <f t="shared" si="1"/>
        <v>-2</v>
      </c>
      <c r="E58" s="207">
        <v>0</v>
      </c>
      <c r="F58" s="207"/>
      <c r="G58" s="207"/>
      <c r="H58" s="207"/>
      <c r="I58" s="207"/>
      <c r="J58" s="207"/>
    </row>
    <row r="59" spans="2:15" x14ac:dyDescent="0.25">
      <c r="B59" s="57" t="s">
        <v>73</v>
      </c>
      <c r="C59" s="209">
        <f>SUM(C52:C58)</f>
        <v>93447961</v>
      </c>
      <c r="D59" s="209">
        <f>SUM(D52:D58)</f>
        <v>9043195</v>
      </c>
      <c r="E59" s="209">
        <f t="shared" ref="E59:J59" si="2">SUM(E52:E58)</f>
        <v>102491156</v>
      </c>
      <c r="F59" s="209">
        <f t="shared" si="2"/>
        <v>76528189</v>
      </c>
      <c r="G59" s="209">
        <f t="shared" si="2"/>
        <v>0</v>
      </c>
      <c r="H59" s="209">
        <f t="shared" si="2"/>
        <v>-2739644</v>
      </c>
      <c r="I59" s="209">
        <f t="shared" si="2"/>
        <v>6193703</v>
      </c>
      <c r="J59" s="209">
        <f t="shared" si="2"/>
        <v>22508908</v>
      </c>
    </row>
    <row r="60" spans="2:15" s="60" customFormat="1" x14ac:dyDescent="0.25">
      <c r="C60" s="61"/>
      <c r="D60" s="61"/>
      <c r="E60" s="61"/>
      <c r="F60" s="126"/>
      <c r="G60" s="126"/>
      <c r="H60" s="126"/>
    </row>
    <row r="61" spans="2:15" s="60" customFormat="1" x14ac:dyDescent="0.25">
      <c r="C61" s="61"/>
      <c r="D61" s="61"/>
      <c r="E61" s="61"/>
      <c r="F61" s="126"/>
      <c r="G61" s="126"/>
      <c r="H61" s="126"/>
    </row>
    <row r="62" spans="2:15" s="60" customFormat="1" x14ac:dyDescent="0.25">
      <c r="B62" s="279" t="s">
        <v>74</v>
      </c>
      <c r="C62" s="280"/>
      <c r="D62" s="280"/>
      <c r="E62" s="280"/>
      <c r="F62" s="280"/>
      <c r="G62" s="280"/>
      <c r="H62" s="281"/>
    </row>
    <row r="63" spans="2:15" s="60" customFormat="1" ht="42.6" customHeight="1" x14ac:dyDescent="0.25">
      <c r="B63" s="3" t="s">
        <v>66</v>
      </c>
      <c r="C63" s="3" t="s">
        <v>171</v>
      </c>
      <c r="D63" s="48" t="s">
        <v>67</v>
      </c>
      <c r="E63" s="48" t="s">
        <v>172</v>
      </c>
      <c r="F63" s="169" t="s">
        <v>75</v>
      </c>
      <c r="G63" s="48" t="s">
        <v>76</v>
      </c>
      <c r="H63" s="48" t="s">
        <v>77</v>
      </c>
    </row>
    <row r="64" spans="2:15" s="60" customFormat="1" x14ac:dyDescent="0.25">
      <c r="B64" s="3" t="s">
        <v>50</v>
      </c>
      <c r="C64" s="120">
        <v>1588098</v>
      </c>
      <c r="D64" s="120">
        <f>E64-C64</f>
        <v>1055672</v>
      </c>
      <c r="E64" s="124">
        <v>2643770</v>
      </c>
      <c r="F64" s="124">
        <v>0</v>
      </c>
      <c r="G64" s="124">
        <v>2643770</v>
      </c>
      <c r="H64" s="124">
        <v>0</v>
      </c>
    </row>
    <row r="65" spans="2:10" s="60" customFormat="1" x14ac:dyDescent="0.25">
      <c r="B65" s="3" t="s">
        <v>51</v>
      </c>
      <c r="C65" s="120">
        <v>16653251</v>
      </c>
      <c r="D65" s="120">
        <f>E65-C65</f>
        <v>-529756</v>
      </c>
      <c r="E65" s="124">
        <v>16123495</v>
      </c>
      <c r="F65" s="124">
        <v>0</v>
      </c>
      <c r="G65" s="124">
        <v>7931311</v>
      </c>
      <c r="H65" s="124">
        <v>8192184</v>
      </c>
    </row>
    <row r="66" spans="2:10" s="60" customFormat="1" x14ac:dyDescent="0.25">
      <c r="B66" s="3" t="s">
        <v>52</v>
      </c>
      <c r="C66" s="120">
        <v>4236223</v>
      </c>
      <c r="D66" s="120">
        <f>E66-C66</f>
        <v>-2150971</v>
      </c>
      <c r="E66" s="124">
        <v>2085252</v>
      </c>
      <c r="F66" s="124">
        <v>0</v>
      </c>
      <c r="G66" s="124">
        <v>1175009</v>
      </c>
      <c r="H66" s="124">
        <v>910243</v>
      </c>
    </row>
    <row r="67" spans="2:10" s="60" customFormat="1" x14ac:dyDescent="0.25">
      <c r="B67" s="3" t="s">
        <v>78</v>
      </c>
      <c r="C67" s="120">
        <v>0</v>
      </c>
      <c r="D67" s="120">
        <f>E67-C67</f>
        <v>-2250000</v>
      </c>
      <c r="E67" s="124">
        <v>-2250000</v>
      </c>
      <c r="F67" s="124">
        <v>0</v>
      </c>
      <c r="G67" s="124">
        <v>-1125000</v>
      </c>
      <c r="H67" s="124">
        <v>-1125000</v>
      </c>
    </row>
    <row r="68" spans="2:10" s="60" customFormat="1" x14ac:dyDescent="0.25">
      <c r="B68" s="3" t="s">
        <v>79</v>
      </c>
      <c r="C68" s="120">
        <v>0</v>
      </c>
      <c r="D68" s="120">
        <f>E68-C68</f>
        <v>0</v>
      </c>
      <c r="E68" s="124">
        <f>SUM(F68:H68)</f>
        <v>0</v>
      </c>
      <c r="F68" s="124">
        <v>0</v>
      </c>
      <c r="G68" s="124">
        <v>0</v>
      </c>
      <c r="H68" s="124">
        <v>0</v>
      </c>
    </row>
    <row r="69" spans="2:10" s="60" customFormat="1" x14ac:dyDescent="0.25">
      <c r="B69" s="57" t="s">
        <v>80</v>
      </c>
      <c r="C69" s="125">
        <f t="shared" ref="C69:H69" si="3">SUM(C64:C68)</f>
        <v>22477572</v>
      </c>
      <c r="D69" s="125">
        <f t="shared" si="3"/>
        <v>-3875055</v>
      </c>
      <c r="E69" s="125">
        <f t="shared" si="3"/>
        <v>18602517</v>
      </c>
      <c r="F69" s="125">
        <f t="shared" si="3"/>
        <v>0</v>
      </c>
      <c r="G69" s="125">
        <f t="shared" si="3"/>
        <v>10625090</v>
      </c>
      <c r="H69" s="125">
        <f t="shared" si="3"/>
        <v>7977427</v>
      </c>
    </row>
    <row r="70" spans="2:10" s="60" customFormat="1" x14ac:dyDescent="0.25">
      <c r="C70" s="61"/>
      <c r="D70" s="61"/>
      <c r="E70" s="61"/>
      <c r="F70" s="60" t="s">
        <v>81</v>
      </c>
      <c r="G70" s="126"/>
      <c r="H70" s="126"/>
    </row>
    <row r="71" spans="2:10" s="60" customFormat="1" ht="15.75" thickBot="1" x14ac:dyDescent="0.3">
      <c r="B71" s="115"/>
      <c r="C71" s="126"/>
      <c r="D71" s="126"/>
      <c r="E71" s="126"/>
      <c r="F71" s="126"/>
      <c r="G71" s="126"/>
      <c r="H71" s="126"/>
    </row>
    <row r="72" spans="2:10" s="60" customFormat="1" ht="30" x14ac:dyDescent="0.25">
      <c r="B72" s="127"/>
      <c r="C72" s="128" t="s">
        <v>219</v>
      </c>
      <c r="D72" s="128" t="s">
        <v>67</v>
      </c>
      <c r="E72" s="128" t="s">
        <v>56</v>
      </c>
      <c r="F72" s="129" t="s">
        <v>173</v>
      </c>
      <c r="G72" s="126"/>
      <c r="H72" s="126"/>
      <c r="I72" s="126"/>
    </row>
    <row r="73" spans="2:10" s="60" customFormat="1" x14ac:dyDescent="0.25">
      <c r="B73" s="140" t="s">
        <v>82</v>
      </c>
      <c r="C73" s="139">
        <f>C59+C69</f>
        <v>115925533</v>
      </c>
      <c r="D73" s="139">
        <f>D59+D69</f>
        <v>5168140</v>
      </c>
      <c r="E73" s="240">
        <f>D73/C73</f>
        <v>4.4581550468264827E-2</v>
      </c>
      <c r="F73" s="141">
        <f>E59+E69</f>
        <v>121093673</v>
      </c>
      <c r="G73" s="126"/>
      <c r="H73" s="126"/>
      <c r="I73" s="126"/>
    </row>
    <row r="74" spans="2:10" s="60" customFormat="1" x14ac:dyDescent="0.25">
      <c r="B74" s="140" t="s">
        <v>83</v>
      </c>
      <c r="C74" s="142">
        <f>'1. Reconciliation'!C11</f>
        <v>115925533</v>
      </c>
      <c r="D74" s="142">
        <f>'1. Reconciliation'!C25</f>
        <v>5168140</v>
      </c>
      <c r="E74" s="241">
        <f>'1. Reconciliation'!C26</f>
        <v>4.4581550468264827E-2</v>
      </c>
      <c r="F74" s="143">
        <f>'1. Reconciliation'!C23</f>
        <v>121093673</v>
      </c>
      <c r="G74" s="126"/>
      <c r="H74" s="126"/>
      <c r="I74" s="126"/>
    </row>
    <row r="75" spans="2:10" s="60" customFormat="1" ht="18" customHeight="1" thickBot="1" x14ac:dyDescent="0.3">
      <c r="B75" s="144" t="s">
        <v>84</v>
      </c>
      <c r="C75" s="145">
        <f>C73-C74</f>
        <v>0</v>
      </c>
      <c r="D75" s="145">
        <f>D73-D74</f>
        <v>0</v>
      </c>
      <c r="E75" s="242">
        <f>E73-E74</f>
        <v>0</v>
      </c>
      <c r="F75" s="146">
        <f>F73-F74</f>
        <v>0</v>
      </c>
      <c r="G75" s="126"/>
      <c r="H75" s="126"/>
      <c r="I75" s="126"/>
    </row>
    <row r="76" spans="2:10" s="60" customFormat="1" x14ac:dyDescent="0.25">
      <c r="G76" s="126"/>
      <c r="H76" s="126"/>
      <c r="I76" s="126"/>
      <c r="J76" s="1"/>
    </row>
    <row r="77" spans="2:10" x14ac:dyDescent="0.25">
      <c r="B77" s="130"/>
      <c r="C77" s="131"/>
      <c r="D77" s="132"/>
      <c r="E77" s="133"/>
      <c r="F77" s="133"/>
      <c r="G77" s="133"/>
      <c r="H77" s="134"/>
    </row>
    <row r="78" spans="2:10" x14ac:dyDescent="0.25">
      <c r="B78" s="282" t="s">
        <v>189</v>
      </c>
      <c r="C78" s="283"/>
      <c r="D78" s="283"/>
      <c r="E78" s="283"/>
      <c r="F78" s="283"/>
      <c r="G78" s="284"/>
      <c r="H78" s="134"/>
    </row>
    <row r="79" spans="2:10" x14ac:dyDescent="0.25">
      <c r="B79" s="279" t="s">
        <v>85</v>
      </c>
      <c r="C79" s="280"/>
      <c r="D79" s="280"/>
      <c r="E79" s="280"/>
      <c r="F79" s="280"/>
      <c r="G79" s="281"/>
      <c r="H79" s="135"/>
    </row>
    <row r="80" spans="2:10" x14ac:dyDescent="0.25">
      <c r="B80" s="285" t="s">
        <v>186</v>
      </c>
      <c r="C80" s="286"/>
      <c r="D80" s="286"/>
      <c r="E80" s="286"/>
      <c r="F80" s="287"/>
      <c r="G80" s="175" t="s">
        <v>187</v>
      </c>
    </row>
    <row r="81" spans="2:7" x14ac:dyDescent="0.25">
      <c r="B81" s="273" t="s">
        <v>139</v>
      </c>
      <c r="C81" s="274"/>
      <c r="D81" s="274"/>
      <c r="E81" s="274"/>
      <c r="F81" s="275"/>
      <c r="G81" s="176">
        <v>713885</v>
      </c>
    </row>
    <row r="82" spans="2:7" x14ac:dyDescent="0.25">
      <c r="B82" s="273" t="s">
        <v>115</v>
      </c>
      <c r="C82" s="274"/>
      <c r="D82" s="274"/>
      <c r="E82" s="274"/>
      <c r="F82" s="275"/>
      <c r="G82" s="176">
        <v>0</v>
      </c>
    </row>
    <row r="83" spans="2:7" x14ac:dyDescent="0.25">
      <c r="B83" s="273" t="s">
        <v>114</v>
      </c>
      <c r="C83" s="274"/>
      <c r="D83" s="274"/>
      <c r="E83" s="274"/>
      <c r="F83" s="275"/>
      <c r="G83" s="176">
        <v>0</v>
      </c>
    </row>
    <row r="84" spans="2:7" ht="15.75" thickBot="1" x14ac:dyDescent="0.3">
      <c r="B84" s="276" t="s">
        <v>188</v>
      </c>
      <c r="C84" s="277"/>
      <c r="D84" s="277"/>
      <c r="E84" s="277"/>
      <c r="F84" s="278"/>
      <c r="G84" s="177">
        <f>SUM(G81:G83)</f>
        <v>713885</v>
      </c>
    </row>
    <row r="85" spans="2:7" ht="15.75" thickTop="1" x14ac:dyDescent="0.25"/>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54" orientation="landscape" r:id="rId1"/>
  <headerFooter>
    <oddFooter>&amp;L&amp;D&amp;R&amp;F,&amp;A,</oddFooter>
  </headerFooter>
  <ignoredErrors>
    <ignoredError sqref="E73:E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J31"/>
  <sheetViews>
    <sheetView showGridLines="0" zoomScale="90" zoomScaleNormal="90" workbookViewId="0">
      <selection activeCell="H26" sqref="H26"/>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3.28515625" style="1" bestFit="1" customWidth="1"/>
    <col min="6" max="6" width="10" style="1" bestFit="1" customWidth="1"/>
    <col min="7" max="7" width="8.85546875" style="1"/>
    <col min="8" max="8" width="13.5703125" style="1" bestFit="1" customWidth="1"/>
    <col min="9" max="9" width="14.5703125" style="1" bestFit="1" customWidth="1"/>
    <col min="10" max="10" width="13.5703125" style="1" bestFit="1" customWidth="1"/>
    <col min="11" max="16384" width="8.85546875" style="1"/>
  </cols>
  <sheetData>
    <row r="1" spans="2:10" x14ac:dyDescent="0.25">
      <c r="B1" s="308" t="s">
        <v>86</v>
      </c>
      <c r="C1" s="308"/>
      <c r="D1" s="308"/>
    </row>
    <row r="2" spans="2:10" ht="21" x14ac:dyDescent="0.35">
      <c r="B2" s="309" t="s">
        <v>5</v>
      </c>
      <c r="C2" s="310"/>
      <c r="D2" s="311"/>
    </row>
    <row r="3" spans="2:10" ht="18.75" x14ac:dyDescent="0.3">
      <c r="B3" s="313" t="s">
        <v>87</v>
      </c>
      <c r="C3" s="314"/>
      <c r="D3" s="315"/>
    </row>
    <row r="4" spans="2:10" ht="74.25" customHeight="1" x14ac:dyDescent="0.25">
      <c r="B4" s="312" t="s">
        <v>217</v>
      </c>
      <c r="C4" s="312"/>
      <c r="D4" s="312"/>
    </row>
    <row r="5" spans="2:10" x14ac:dyDescent="0.25">
      <c r="B5" s="21"/>
      <c r="C5" s="2"/>
      <c r="D5" s="2"/>
    </row>
    <row r="6" spans="2:10" x14ac:dyDescent="0.25">
      <c r="B6" s="317" t="s">
        <v>88</v>
      </c>
      <c r="C6" s="316" t="s">
        <v>89</v>
      </c>
      <c r="D6" s="316" t="s">
        <v>90</v>
      </c>
    </row>
    <row r="7" spans="2:10" x14ac:dyDescent="0.25">
      <c r="B7" s="317"/>
      <c r="C7" s="316"/>
      <c r="D7" s="316"/>
    </row>
    <row r="8" spans="2:10" x14ac:dyDescent="0.25">
      <c r="B8" s="78" t="s">
        <v>156</v>
      </c>
      <c r="C8" s="218">
        <v>245862206</v>
      </c>
      <c r="D8" s="167"/>
    </row>
    <row r="9" spans="2:10" x14ac:dyDescent="0.25">
      <c r="B9" s="112" t="s">
        <v>230</v>
      </c>
      <c r="C9" s="216">
        <v>0.59799999999999998</v>
      </c>
      <c r="D9" s="168">
        <v>12291760.794671122</v>
      </c>
    </row>
    <row r="10" spans="2:10" x14ac:dyDescent="0.25">
      <c r="B10" s="217" t="s">
        <v>231</v>
      </c>
      <c r="C10" s="216">
        <v>0.32900000000000001</v>
      </c>
      <c r="D10" s="168">
        <v>3654950.6691991519</v>
      </c>
    </row>
    <row r="11" spans="2:10" x14ac:dyDescent="0.25">
      <c r="B11" s="217" t="s">
        <v>232</v>
      </c>
      <c r="C11" s="216">
        <v>0.42599999999999999</v>
      </c>
      <c r="D11" s="168">
        <v>2732683.4320240002</v>
      </c>
    </row>
    <row r="12" spans="2:10" x14ac:dyDescent="0.25">
      <c r="B12" s="217" t="s">
        <v>236</v>
      </c>
      <c r="C12" s="216">
        <v>0.247</v>
      </c>
      <c r="D12" s="168">
        <v>2321444.2996625081</v>
      </c>
    </row>
    <row r="13" spans="2:10" x14ac:dyDescent="0.25">
      <c r="B13" s="217" t="s">
        <v>233</v>
      </c>
      <c r="C13" s="216">
        <v>0.51500000000000001</v>
      </c>
      <c r="D13" s="168">
        <v>2283386.7047199998</v>
      </c>
    </row>
    <row r="14" spans="2:10" x14ac:dyDescent="0.25">
      <c r="B14" s="217" t="s">
        <v>234</v>
      </c>
      <c r="C14" s="216">
        <v>0.46200000000000002</v>
      </c>
      <c r="D14" s="168">
        <v>1443719.0915188538</v>
      </c>
    </row>
    <row r="15" spans="2:10" x14ac:dyDescent="0.25">
      <c r="B15" s="217" t="s">
        <v>235</v>
      </c>
      <c r="C15" s="216">
        <v>-1</v>
      </c>
      <c r="D15" s="168">
        <v>-741162.70226427342</v>
      </c>
    </row>
    <row r="16" spans="2:10" x14ac:dyDescent="0.25">
      <c r="B16" s="217" t="s">
        <v>237</v>
      </c>
      <c r="C16" s="216">
        <v>-4.2000000000000003E-2</v>
      </c>
      <c r="D16" s="168">
        <v>-1001377.352745153</v>
      </c>
      <c r="H16" s="221"/>
      <c r="I16" s="222"/>
      <c r="J16" s="223"/>
    </row>
    <row r="17" spans="2:10" x14ac:dyDescent="0.25">
      <c r="B17" s="217" t="s">
        <v>238</v>
      </c>
      <c r="C17" s="216">
        <v>-0.20699999999999999</v>
      </c>
      <c r="D17" s="168">
        <v>-1012053.1461479999</v>
      </c>
      <c r="H17" s="221"/>
      <c r="I17" s="224"/>
      <c r="J17" s="223"/>
    </row>
    <row r="18" spans="2:10" x14ac:dyDescent="0.25">
      <c r="B18" s="217" t="s">
        <v>239</v>
      </c>
      <c r="C18" s="216">
        <v>-0.39600000000000002</v>
      </c>
      <c r="D18" s="168">
        <v>-18272344.134709582</v>
      </c>
      <c r="H18" s="221"/>
    </row>
    <row r="19" spans="2:10" x14ac:dyDescent="0.25">
      <c r="B19" s="217" t="s">
        <v>240</v>
      </c>
      <c r="C19" s="216">
        <v>-1</v>
      </c>
      <c r="D19" s="168">
        <v>-8701114</v>
      </c>
      <c r="H19" s="221"/>
    </row>
    <row r="20" spans="2:10" x14ac:dyDescent="0.25">
      <c r="B20" s="217" t="s">
        <v>223</v>
      </c>
      <c r="C20" s="216">
        <v>2.0000000000000001E-4</v>
      </c>
      <c r="D20" s="168">
        <v>184556</v>
      </c>
    </row>
    <row r="21" spans="2:10" x14ac:dyDescent="0.25">
      <c r="B21" s="78" t="s">
        <v>157</v>
      </c>
      <c r="C21" s="218">
        <v>241046655.16850105</v>
      </c>
      <c r="D21" s="167">
        <f>SUM(D8:D20)</f>
        <v>-4815550.3440713733</v>
      </c>
      <c r="E21" s="220"/>
      <c r="F21" s="221"/>
    </row>
    <row r="22" spans="2:10" x14ac:dyDescent="0.25">
      <c r="B22" s="74"/>
      <c r="C22" s="44"/>
      <c r="D22" s="44"/>
    </row>
    <row r="23" spans="2:10" x14ac:dyDescent="0.25">
      <c r="B23" s="29" t="s">
        <v>174</v>
      </c>
      <c r="C23" s="104"/>
      <c r="D23" s="79">
        <f>SUM(D9:D20)</f>
        <v>-4815550.3440713733</v>
      </c>
    </row>
    <row r="24" spans="2:10" x14ac:dyDescent="0.25">
      <c r="B24" s="29" t="s">
        <v>175</v>
      </c>
      <c r="C24" s="219">
        <f>C21/C8-1</f>
        <v>-1.9586380964543015E-2</v>
      </c>
      <c r="D24" s="105"/>
      <c r="H24" s="223"/>
    </row>
    <row r="25" spans="2:10" x14ac:dyDescent="0.25">
      <c r="B25" s="74" t="s">
        <v>91</v>
      </c>
      <c r="H25" s="223"/>
    </row>
    <row r="26" spans="2:10" x14ac:dyDescent="0.25">
      <c r="H26" s="223"/>
    </row>
    <row r="29" spans="2:10" x14ac:dyDescent="0.25">
      <c r="H29" s="223"/>
    </row>
    <row r="30" spans="2:10" x14ac:dyDescent="0.25">
      <c r="H30" s="223"/>
    </row>
    <row r="31" spans="2:10" x14ac:dyDescent="0.25">
      <c r="H31" s="223"/>
    </row>
  </sheetData>
  <sortState xmlns:xlrd2="http://schemas.microsoft.com/office/spreadsheetml/2017/richdata2" ref="B9:D18">
    <sortCondition descending="1" ref="D9:D18"/>
  </sortState>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00B050"/>
  </sheetPr>
  <dimension ref="B1:M38"/>
  <sheetViews>
    <sheetView showGridLines="0" zoomScale="90" zoomScaleNormal="90" workbookViewId="0">
      <selection activeCell="M17" sqref="M17"/>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59.42578125" bestFit="1" customWidth="1"/>
    <col min="8" max="8" width="16.140625" bestFit="1" customWidth="1"/>
    <col min="9" max="9" width="13.28515625" bestFit="1" customWidth="1"/>
    <col min="10" max="10" width="15" bestFit="1" customWidth="1"/>
    <col min="13" max="13" width="14.5703125" bestFit="1" customWidth="1"/>
  </cols>
  <sheetData>
    <row r="1" spans="2:10" x14ac:dyDescent="0.25">
      <c r="B1" s="262" t="s">
        <v>92</v>
      </c>
      <c r="C1" s="262"/>
      <c r="D1" s="262"/>
      <c r="E1" s="262"/>
      <c r="F1" s="262"/>
      <c r="G1" s="262"/>
    </row>
    <row r="2" spans="2:10" ht="18.75" x14ac:dyDescent="0.3">
      <c r="B2" s="319" t="s">
        <v>9</v>
      </c>
      <c r="C2" s="320"/>
      <c r="D2" s="320"/>
      <c r="E2" s="320"/>
      <c r="F2" s="320"/>
      <c r="G2" s="321"/>
    </row>
    <row r="3" spans="2:10" ht="18.75" x14ac:dyDescent="0.3">
      <c r="B3" s="313" t="s">
        <v>93</v>
      </c>
      <c r="C3" s="314"/>
      <c r="D3" s="314"/>
      <c r="E3" s="314"/>
      <c r="F3" s="314"/>
      <c r="G3" s="315"/>
    </row>
    <row r="4" spans="2:10" ht="63" customHeight="1" x14ac:dyDescent="0.25">
      <c r="B4" s="322" t="s">
        <v>215</v>
      </c>
      <c r="C4" s="323"/>
      <c r="D4" s="323"/>
      <c r="E4" s="323"/>
      <c r="F4" s="323"/>
      <c r="G4" s="324"/>
    </row>
    <row r="5" spans="2:10" ht="17.45" customHeight="1" x14ac:dyDescent="0.25">
      <c r="B5" s="47" t="s">
        <v>94</v>
      </c>
      <c r="C5" s="325" t="s">
        <v>95</v>
      </c>
      <c r="D5" s="326"/>
      <c r="E5" s="326"/>
      <c r="F5" s="327"/>
      <c r="G5" s="56" t="s">
        <v>96</v>
      </c>
    </row>
    <row r="6" spans="2:10" ht="31.5" customHeight="1" x14ac:dyDescent="0.25">
      <c r="B6" s="16"/>
      <c r="C6" s="49" t="s">
        <v>97</v>
      </c>
      <c r="D6" s="50" t="s">
        <v>98</v>
      </c>
      <c r="E6" s="147" t="s">
        <v>214</v>
      </c>
      <c r="F6" s="147" t="s">
        <v>99</v>
      </c>
      <c r="G6" s="16"/>
    </row>
    <row r="7" spans="2:10" ht="27" customHeight="1" x14ac:dyDescent="0.25">
      <c r="B7" s="16" t="s">
        <v>100</v>
      </c>
      <c r="C7" s="9">
        <v>0.01</v>
      </c>
      <c r="D7" s="50">
        <v>92491</v>
      </c>
      <c r="E7" s="49">
        <f>(D7/C7)/125670423</f>
        <v>7.3598065314063599E-2</v>
      </c>
      <c r="F7" s="9">
        <f>C7*E7</f>
        <v>7.3598065314063599E-4</v>
      </c>
      <c r="G7" s="16"/>
    </row>
    <row r="8" spans="2:10" ht="27" customHeight="1" x14ac:dyDescent="0.25">
      <c r="B8" s="16" t="s">
        <v>101</v>
      </c>
      <c r="C8" s="9">
        <v>0.20399999999999999</v>
      </c>
      <c r="D8" s="50">
        <v>8361504</v>
      </c>
      <c r="E8" s="49">
        <f>(D8/C8)/125670423</f>
        <v>0.32615283475159751</v>
      </c>
      <c r="F8" s="9">
        <f t="shared" ref="F8:F14" si="0">C8*E8</f>
        <v>6.6535178289325883E-2</v>
      </c>
      <c r="G8" s="16" t="s">
        <v>222</v>
      </c>
      <c r="H8" s="212"/>
    </row>
    <row r="9" spans="2:10" ht="27" customHeight="1" x14ac:dyDescent="0.25">
      <c r="B9" s="16" t="s">
        <v>37</v>
      </c>
      <c r="C9" s="9">
        <v>0.16400000000000001</v>
      </c>
      <c r="D9" s="50">
        <v>331126</v>
      </c>
      <c r="E9" s="49">
        <f>(D9/C9)/125670423</f>
        <v>1.6066317972127427E-2</v>
      </c>
      <c r="F9" s="9">
        <f t="shared" si="0"/>
        <v>2.6348761474288981E-3</v>
      </c>
      <c r="G9" s="16" t="s">
        <v>250</v>
      </c>
      <c r="I9" s="212"/>
      <c r="J9" s="212"/>
    </row>
    <row r="10" spans="2:10" ht="27" customHeight="1" x14ac:dyDescent="0.25">
      <c r="B10" s="16" t="s">
        <v>102</v>
      </c>
      <c r="C10" s="9">
        <v>0.161</v>
      </c>
      <c r="D10" s="50">
        <v>1052970.373100691</v>
      </c>
      <c r="E10" s="49">
        <f>(D10/C10)/125670423</f>
        <v>5.2042385922416473E-2</v>
      </c>
      <c r="F10" s="9">
        <f t="shared" si="0"/>
        <v>8.3788241335090528E-3</v>
      </c>
      <c r="G10" s="16" t="s">
        <v>251</v>
      </c>
      <c r="J10" s="212"/>
    </row>
    <row r="11" spans="2:10" ht="27" customHeight="1" x14ac:dyDescent="0.25">
      <c r="B11" s="16" t="s">
        <v>103</v>
      </c>
      <c r="C11" s="9">
        <v>0.21099999999999999</v>
      </c>
      <c r="D11" s="50">
        <v>717118.40113151399</v>
      </c>
      <c r="E11" s="49">
        <f>(D11/C11)/125670423</f>
        <v>2.7044274436843645E-2</v>
      </c>
      <c r="F11" s="9">
        <f t="shared" si="0"/>
        <v>5.7063419061740084E-3</v>
      </c>
      <c r="G11" s="16" t="s">
        <v>252</v>
      </c>
      <c r="J11" s="212"/>
    </row>
    <row r="12" spans="2:10" ht="27" customHeight="1" x14ac:dyDescent="0.25">
      <c r="B12" s="30" t="s">
        <v>223</v>
      </c>
      <c r="C12" s="9">
        <v>0</v>
      </c>
      <c r="D12" s="50">
        <v>0</v>
      </c>
      <c r="E12" s="49">
        <v>0.51</v>
      </c>
      <c r="F12" s="9">
        <f t="shared" si="0"/>
        <v>0</v>
      </c>
      <c r="G12" s="16"/>
      <c r="J12" s="212"/>
    </row>
    <row r="13" spans="2:10" ht="27" customHeight="1" x14ac:dyDescent="0.25">
      <c r="B13" s="30" t="s">
        <v>104</v>
      </c>
      <c r="C13" s="9"/>
      <c r="D13" s="50"/>
      <c r="E13" s="49"/>
      <c r="F13" s="9">
        <f t="shared" si="0"/>
        <v>0</v>
      </c>
      <c r="G13" s="16"/>
      <c r="J13" s="212"/>
    </row>
    <row r="14" spans="2:10" ht="27" customHeight="1" x14ac:dyDescent="0.25">
      <c r="B14" s="30" t="s">
        <v>104</v>
      </c>
      <c r="C14" s="9"/>
      <c r="D14" s="50"/>
      <c r="E14" s="49"/>
      <c r="F14" s="9">
        <f t="shared" si="0"/>
        <v>0</v>
      </c>
      <c r="G14" s="16"/>
    </row>
    <row r="15" spans="2:10" x14ac:dyDescent="0.25">
      <c r="B15" s="11" t="s">
        <v>13</v>
      </c>
      <c r="C15" s="76" t="s">
        <v>105</v>
      </c>
      <c r="D15" s="77">
        <f>SUM(D7:D14)</f>
        <v>10555209.774232205</v>
      </c>
      <c r="E15" s="204">
        <f>SUM(E7:E14)</f>
        <v>1.0049038783970485</v>
      </c>
      <c r="F15" s="203">
        <f>SUM(F7:F14)</f>
        <v>8.3991201129578488E-2</v>
      </c>
      <c r="G15" s="11"/>
    </row>
    <row r="16" spans="2:10" x14ac:dyDescent="0.25">
      <c r="B16" s="18" t="s">
        <v>216</v>
      </c>
      <c r="E16" t="s">
        <v>211</v>
      </c>
    </row>
    <row r="18" spans="2:6" x14ac:dyDescent="0.25">
      <c r="B18" s="318" t="s">
        <v>106</v>
      </c>
      <c r="C18" s="318"/>
      <c r="D18" s="318"/>
      <c r="E18" s="318"/>
      <c r="F18" s="170"/>
    </row>
    <row r="20" spans="2:6" ht="26.25" x14ac:dyDescent="0.4">
      <c r="B20" s="193" t="s">
        <v>210</v>
      </c>
    </row>
    <row r="38" spans="13:13" x14ac:dyDescent="0.25">
      <c r="M38" s="14"/>
    </row>
  </sheetData>
  <mergeCells count="6">
    <mergeCell ref="B18:E18"/>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rgb="FF00B050"/>
  </sheetPr>
  <dimension ref="B1:G18"/>
  <sheetViews>
    <sheetView showGridLines="0" workbookViewId="0">
      <selection activeCell="C21" sqref="C21"/>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24.28515625" style="41" bestFit="1" customWidth="1"/>
    <col min="7" max="16384" width="8.85546875" style="1"/>
  </cols>
  <sheetData>
    <row r="1" spans="2:7" s="108" customFormat="1" x14ac:dyDescent="0.25">
      <c r="B1" s="109"/>
      <c r="C1" s="109"/>
      <c r="D1" s="109"/>
      <c r="E1" s="109"/>
      <c r="F1" s="109"/>
    </row>
    <row r="2" spans="2:7" ht="15.75" x14ac:dyDescent="0.25">
      <c r="B2" s="329" t="s">
        <v>107</v>
      </c>
      <c r="C2" s="329"/>
      <c r="D2" s="329"/>
      <c r="E2" s="329"/>
      <c r="F2" s="329"/>
    </row>
    <row r="3" spans="2:7" ht="18.75" x14ac:dyDescent="0.3">
      <c r="B3" s="330" t="s">
        <v>2</v>
      </c>
      <c r="C3" s="331"/>
      <c r="D3" s="331"/>
      <c r="E3" s="331"/>
      <c r="F3" s="332"/>
    </row>
    <row r="4" spans="2:7" ht="18.75" x14ac:dyDescent="0.3">
      <c r="B4" s="313" t="s">
        <v>108</v>
      </c>
      <c r="C4" s="314"/>
      <c r="D4" s="314"/>
      <c r="E4" s="314"/>
      <c r="F4" s="315"/>
    </row>
    <row r="5" spans="2:7" ht="15.75" x14ac:dyDescent="0.25">
      <c r="B5" s="31"/>
      <c r="C5" s="31"/>
      <c r="D5" s="31"/>
      <c r="E5" s="31"/>
      <c r="F5" s="31"/>
    </row>
    <row r="6" spans="2:7" ht="67.5" customHeight="1" x14ac:dyDescent="0.25">
      <c r="B6" s="328" t="s">
        <v>204</v>
      </c>
      <c r="C6" s="328"/>
      <c r="D6" s="328"/>
      <c r="E6" s="328"/>
      <c r="F6" s="328"/>
    </row>
    <row r="7" spans="2:7" ht="15.75" x14ac:dyDescent="0.25">
      <c r="B7" s="31"/>
      <c r="C7" s="31"/>
      <c r="D7" s="31"/>
      <c r="E7" s="31"/>
      <c r="F7" s="31"/>
    </row>
    <row r="8" spans="2:7" ht="48" customHeight="1" x14ac:dyDescent="0.25">
      <c r="B8" s="32" t="s">
        <v>109</v>
      </c>
      <c r="C8" s="33" t="s">
        <v>176</v>
      </c>
      <c r="D8" s="33" t="s">
        <v>110</v>
      </c>
      <c r="E8" s="33" t="s">
        <v>111</v>
      </c>
      <c r="F8" s="34" t="s">
        <v>112</v>
      </c>
      <c r="G8" s="1" t="s">
        <v>229</v>
      </c>
    </row>
    <row r="9" spans="2:7" ht="25.5" customHeight="1" x14ac:dyDescent="0.25">
      <c r="B9" s="35"/>
      <c r="C9" s="36" t="s">
        <v>113</v>
      </c>
      <c r="D9" s="36" t="s">
        <v>177</v>
      </c>
      <c r="E9" s="36" t="s">
        <v>177</v>
      </c>
      <c r="F9" s="37" t="s">
        <v>178</v>
      </c>
    </row>
    <row r="10" spans="2:7" ht="24" customHeight="1" x14ac:dyDescent="0.25">
      <c r="B10" s="38" t="s">
        <v>114</v>
      </c>
      <c r="C10" s="39" t="s">
        <v>224</v>
      </c>
      <c r="D10" s="214">
        <v>9422</v>
      </c>
      <c r="E10" s="213">
        <v>1247.0899999999999</v>
      </c>
      <c r="F10" s="40" t="s">
        <v>226</v>
      </c>
      <c r="G10" s="1" t="s">
        <v>227</v>
      </c>
    </row>
    <row r="11" spans="2:7" ht="15.75" x14ac:dyDescent="0.25">
      <c r="B11" s="38" t="s">
        <v>115</v>
      </c>
      <c r="C11" s="39" t="s">
        <v>224</v>
      </c>
      <c r="D11" s="214">
        <v>5361</v>
      </c>
      <c r="E11" s="213">
        <v>1697.9</v>
      </c>
      <c r="F11" s="40" t="s">
        <v>228</v>
      </c>
      <c r="G11" s="1" t="s">
        <v>227</v>
      </c>
    </row>
    <row r="12" spans="2:7" ht="15.75" x14ac:dyDescent="0.25">
      <c r="B12" s="38" t="s">
        <v>139</v>
      </c>
      <c r="C12" s="39" t="s">
        <v>224</v>
      </c>
      <c r="D12" s="39">
        <v>0</v>
      </c>
      <c r="E12" s="39">
        <v>0</v>
      </c>
      <c r="F12" s="40">
        <v>0</v>
      </c>
    </row>
    <row r="13" spans="2:7" ht="15.75" x14ac:dyDescent="0.25">
      <c r="B13" s="191" t="s">
        <v>202</v>
      </c>
      <c r="C13" s="184" t="s">
        <v>224</v>
      </c>
      <c r="D13" s="184">
        <v>0</v>
      </c>
      <c r="E13" s="184">
        <v>0</v>
      </c>
      <c r="F13" s="185">
        <v>0</v>
      </c>
    </row>
    <row r="14" spans="2:7" ht="15.75" x14ac:dyDescent="0.25">
      <c r="B14" s="192" t="s">
        <v>203</v>
      </c>
      <c r="C14" s="186" t="s">
        <v>224</v>
      </c>
      <c r="D14" s="186">
        <v>0</v>
      </c>
      <c r="E14" s="186">
        <v>0</v>
      </c>
      <c r="F14" s="187">
        <v>0</v>
      </c>
    </row>
    <row r="15" spans="2:7" ht="16.5" thickBot="1" x14ac:dyDescent="0.3">
      <c r="B15" s="182" t="s">
        <v>116</v>
      </c>
      <c r="C15" s="180" t="s">
        <v>225</v>
      </c>
      <c r="D15" s="180"/>
      <c r="E15" s="180"/>
      <c r="F15" s="181"/>
    </row>
    <row r="16" spans="2:7" ht="15.75" x14ac:dyDescent="0.25">
      <c r="B16" s="35" t="s">
        <v>117</v>
      </c>
      <c r="C16" s="179"/>
      <c r="D16" s="215">
        <f>SUM(D10:D15)</f>
        <v>14783</v>
      </c>
      <c r="E16" s="215"/>
      <c r="F16" s="215">
        <f>SUM(F10:F15)</f>
        <v>0</v>
      </c>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rgb="FF00B050"/>
    <pageSetUpPr fitToPage="1"/>
  </sheetPr>
  <dimension ref="B2:K24"/>
  <sheetViews>
    <sheetView showGridLines="0" topLeftCell="B1" zoomScale="94" zoomScaleNormal="100" zoomScaleSheetLayoutView="55" workbookViewId="0">
      <selection activeCell="D21" sqref="D21"/>
    </sheetView>
  </sheetViews>
  <sheetFormatPr defaultColWidth="9.140625" defaultRowHeight="15" customHeight="1" x14ac:dyDescent="0.25"/>
  <cols>
    <col min="1" max="1" width="3.5703125" style="106" customWidth="1"/>
    <col min="2" max="2" width="39.7109375" style="106" customWidth="1"/>
    <col min="3" max="3" width="24" style="106" customWidth="1"/>
    <col min="4" max="11" width="22.7109375" style="106" customWidth="1"/>
    <col min="12" max="16384" width="9.140625" style="106"/>
  </cols>
  <sheetData>
    <row r="2" spans="2:11" s="1" customFormat="1" ht="15.75" x14ac:dyDescent="0.25">
      <c r="B2" s="329" t="s">
        <v>118</v>
      </c>
      <c r="C2" s="329"/>
      <c r="D2" s="329"/>
      <c r="E2" s="329"/>
      <c r="F2" s="329"/>
      <c r="G2" s="329"/>
      <c r="H2" s="329"/>
      <c r="I2" s="329"/>
      <c r="J2" s="329"/>
      <c r="K2" s="329"/>
    </row>
    <row r="3" spans="2:11" s="1" customFormat="1" ht="18.75" x14ac:dyDescent="0.3">
      <c r="B3" s="330" t="s">
        <v>119</v>
      </c>
      <c r="C3" s="331"/>
      <c r="D3" s="331"/>
      <c r="E3" s="331"/>
      <c r="F3" s="331"/>
      <c r="G3" s="331"/>
      <c r="H3" s="331"/>
      <c r="I3" s="331"/>
      <c r="J3" s="331"/>
      <c r="K3" s="332"/>
    </row>
    <row r="4" spans="2:11" s="1" customFormat="1" ht="18.75" x14ac:dyDescent="0.3">
      <c r="B4" s="313" t="s">
        <v>120</v>
      </c>
      <c r="C4" s="314"/>
      <c r="D4" s="314"/>
      <c r="E4" s="314"/>
      <c r="F4" s="314"/>
      <c r="G4" s="314"/>
      <c r="H4" s="314"/>
      <c r="I4" s="314"/>
      <c r="J4" s="314"/>
      <c r="K4" s="315"/>
    </row>
    <row r="5" spans="2:11" s="108" customFormat="1" ht="18.75" x14ac:dyDescent="0.3">
      <c r="B5" s="149"/>
      <c r="C5" s="149"/>
      <c r="D5" s="149"/>
      <c r="E5" s="149"/>
      <c r="F5" s="149"/>
      <c r="G5" s="149"/>
      <c r="H5" s="149"/>
      <c r="I5" s="149"/>
      <c r="J5" s="149"/>
      <c r="K5" s="149"/>
    </row>
    <row r="6" spans="2:11" s="108" customFormat="1" ht="18.75" customHeight="1" x14ac:dyDescent="0.25">
      <c r="B6" s="335" t="s">
        <v>209</v>
      </c>
      <c r="C6" s="335"/>
      <c r="D6" s="335"/>
      <c r="E6" s="335"/>
      <c r="F6" s="335"/>
      <c r="G6" s="335"/>
      <c r="H6" s="335"/>
      <c r="I6" s="335"/>
      <c r="J6" s="335"/>
      <c r="K6" s="335"/>
    </row>
    <row r="7" spans="2:11" s="108" customFormat="1" ht="18.75" customHeight="1" x14ac:dyDescent="0.25">
      <c r="B7" s="335"/>
      <c r="C7" s="335"/>
      <c r="D7" s="335"/>
      <c r="E7" s="335"/>
      <c r="F7" s="335"/>
      <c r="G7" s="335"/>
      <c r="H7" s="335"/>
      <c r="I7" s="335"/>
      <c r="J7" s="335"/>
      <c r="K7" s="335"/>
    </row>
    <row r="8" spans="2:11" s="108" customFormat="1" ht="18.75" x14ac:dyDescent="0.3">
      <c r="B8" s="107"/>
      <c r="C8" s="107"/>
      <c r="D8" s="107"/>
      <c r="E8" s="107"/>
      <c r="F8" s="107"/>
      <c r="G8" s="107"/>
      <c r="H8" s="107"/>
    </row>
    <row r="9" spans="2:11" s="150" customFormat="1" x14ac:dyDescent="0.25">
      <c r="B9" s="151"/>
      <c r="D9" s="151"/>
      <c r="E9" s="151"/>
      <c r="F9" s="151"/>
      <c r="G9" s="151"/>
      <c r="H9" s="151"/>
      <c r="I9" s="152"/>
      <c r="J9" s="152"/>
      <c r="K9" s="152"/>
    </row>
    <row r="10" spans="2:11" s="148" customFormat="1" ht="15" customHeight="1" x14ac:dyDescent="0.25">
      <c r="B10" s="333" t="s">
        <v>121</v>
      </c>
      <c r="C10" s="165" t="s">
        <v>122</v>
      </c>
      <c r="D10" s="188" t="s">
        <v>122</v>
      </c>
      <c r="E10" s="161" t="s">
        <v>123</v>
      </c>
      <c r="F10" s="162" t="s">
        <v>208</v>
      </c>
      <c r="G10" s="189" t="s">
        <v>122</v>
      </c>
      <c r="H10" s="161" t="s">
        <v>123</v>
      </c>
      <c r="I10" s="162" t="s">
        <v>208</v>
      </c>
      <c r="J10" s="194" t="s">
        <v>123</v>
      </c>
      <c r="K10" s="195" t="s">
        <v>208</v>
      </c>
    </row>
    <row r="11" spans="2:11" s="148" customFormat="1" x14ac:dyDescent="0.25">
      <c r="B11" s="334"/>
      <c r="C11" s="164" t="s">
        <v>124</v>
      </c>
      <c r="D11" s="340" t="s">
        <v>207</v>
      </c>
      <c r="E11" s="336"/>
      <c r="F11" s="337"/>
      <c r="G11" s="336" t="s">
        <v>125</v>
      </c>
      <c r="H11" s="336"/>
      <c r="I11" s="337"/>
      <c r="J11" s="338" t="s">
        <v>205</v>
      </c>
      <c r="K11" s="339"/>
    </row>
    <row r="12" spans="2:11" ht="15" customHeight="1" x14ac:dyDescent="0.25">
      <c r="B12" s="153" t="s">
        <v>245</v>
      </c>
      <c r="C12" s="248">
        <f>1217835.6+1217835.6+1217835.6+324791.93</f>
        <v>3978298.7300000004</v>
      </c>
      <c r="D12" s="249">
        <v>3653507</v>
      </c>
      <c r="E12" s="250">
        <v>3653507</v>
      </c>
      <c r="F12" s="251">
        <v>0</v>
      </c>
      <c r="G12" s="14">
        <v>324792</v>
      </c>
      <c r="H12" s="14">
        <v>324792</v>
      </c>
      <c r="I12" s="155">
        <v>0</v>
      </c>
      <c r="J12" s="196"/>
      <c r="K12" s="197"/>
    </row>
    <row r="13" spans="2:11" ht="15" customHeight="1" x14ac:dyDescent="0.25">
      <c r="B13" s="153" t="s">
        <v>246</v>
      </c>
      <c r="C13" s="248">
        <f>228336.04+33409.08</f>
        <v>261745.12</v>
      </c>
      <c r="D13" s="249">
        <v>228336.04</v>
      </c>
      <c r="E13" s="250">
        <v>228336.04</v>
      </c>
      <c r="F13" s="251">
        <v>0</v>
      </c>
      <c r="G13" s="14">
        <v>33409.08</v>
      </c>
      <c r="H13" s="14">
        <v>33409.08</v>
      </c>
      <c r="I13" s="155">
        <v>0</v>
      </c>
      <c r="J13" s="196"/>
      <c r="K13" s="197"/>
    </row>
    <row r="14" spans="2:11" ht="15" customHeight="1" x14ac:dyDescent="0.25">
      <c r="B14" s="153" t="s">
        <v>247</v>
      </c>
      <c r="C14" s="248">
        <f>24000+24547</f>
        <v>48547</v>
      </c>
      <c r="D14" s="249">
        <v>48547</v>
      </c>
      <c r="E14" s="250">
        <v>48547</v>
      </c>
      <c r="F14" s="251">
        <v>0</v>
      </c>
      <c r="G14" s="14">
        <v>0</v>
      </c>
      <c r="H14" s="14">
        <v>0</v>
      </c>
      <c r="I14" s="155">
        <v>0</v>
      </c>
      <c r="J14" s="196"/>
      <c r="K14" s="197"/>
    </row>
    <row r="15" spans="2:11" ht="15" customHeight="1" x14ac:dyDescent="0.25">
      <c r="B15" s="153" t="s">
        <v>248</v>
      </c>
      <c r="C15" s="248">
        <v>4500</v>
      </c>
      <c r="D15" s="249">
        <v>4500</v>
      </c>
      <c r="E15" s="250">
        <v>4500</v>
      </c>
      <c r="F15" s="251">
        <v>0</v>
      </c>
      <c r="G15" s="14">
        <v>0</v>
      </c>
      <c r="H15" s="14">
        <v>0</v>
      </c>
      <c r="I15" s="155">
        <v>0</v>
      </c>
      <c r="J15" s="196"/>
      <c r="K15" s="197"/>
    </row>
    <row r="16" spans="2:11" ht="15" customHeight="1" x14ac:dyDescent="0.25">
      <c r="B16" s="153" t="s">
        <v>249</v>
      </c>
      <c r="C16" s="248">
        <v>11000</v>
      </c>
      <c r="D16" s="249">
        <v>11000</v>
      </c>
      <c r="E16" s="250">
        <v>11000</v>
      </c>
      <c r="F16" s="251">
        <v>0</v>
      </c>
      <c r="G16" s="14">
        <v>0</v>
      </c>
      <c r="H16" s="14">
        <v>0</v>
      </c>
      <c r="I16" s="155">
        <v>0</v>
      </c>
      <c r="J16" s="196"/>
      <c r="K16" s="197"/>
    </row>
    <row r="17" spans="2:11" ht="15" customHeight="1" x14ac:dyDescent="0.25">
      <c r="B17" s="153" t="s">
        <v>206</v>
      </c>
      <c r="C17" s="248">
        <f t="shared" ref="C17:C22" si="0">+D17+G17</f>
        <v>0</v>
      </c>
      <c r="D17" s="249"/>
      <c r="E17" s="250"/>
      <c r="F17" s="251"/>
      <c r="G17" s="154"/>
      <c r="H17" s="154"/>
      <c r="I17" s="155"/>
      <c r="J17" s="196"/>
      <c r="K17" s="197"/>
    </row>
    <row r="18" spans="2:11" ht="15" customHeight="1" x14ac:dyDescent="0.25">
      <c r="B18" s="153" t="s">
        <v>206</v>
      </c>
      <c r="C18" s="248">
        <f t="shared" si="0"/>
        <v>0</v>
      </c>
      <c r="D18" s="249"/>
      <c r="E18" s="250"/>
      <c r="F18" s="251"/>
      <c r="G18" s="154"/>
      <c r="H18" s="154"/>
      <c r="I18" s="155"/>
      <c r="J18" s="196"/>
      <c r="K18" s="197"/>
    </row>
    <row r="19" spans="2:11" ht="15" customHeight="1" x14ac:dyDescent="0.25">
      <c r="B19" s="153" t="s">
        <v>206</v>
      </c>
      <c r="C19" s="248">
        <f t="shared" si="0"/>
        <v>0</v>
      </c>
      <c r="D19" s="249"/>
      <c r="E19" s="250"/>
      <c r="F19" s="251"/>
      <c r="G19" s="154"/>
      <c r="H19" s="154"/>
      <c r="I19" s="155"/>
      <c r="J19" s="196"/>
      <c r="K19" s="197"/>
    </row>
    <row r="20" spans="2:11" ht="15" customHeight="1" x14ac:dyDescent="0.25">
      <c r="B20" s="153" t="s">
        <v>206</v>
      </c>
      <c r="C20" s="248">
        <f t="shared" si="0"/>
        <v>0</v>
      </c>
      <c r="D20" s="249"/>
      <c r="E20" s="250"/>
      <c r="F20" s="251"/>
      <c r="G20" s="154"/>
      <c r="H20" s="154"/>
      <c r="I20" s="155"/>
      <c r="J20" s="196"/>
      <c r="K20" s="197"/>
    </row>
    <row r="21" spans="2:11" ht="15" customHeight="1" x14ac:dyDescent="0.25">
      <c r="B21" s="153" t="s">
        <v>206</v>
      </c>
      <c r="C21" s="248">
        <f t="shared" si="0"/>
        <v>0</v>
      </c>
      <c r="D21" s="249"/>
      <c r="E21" s="250"/>
      <c r="F21" s="251"/>
      <c r="G21" s="154"/>
      <c r="H21" s="154"/>
      <c r="I21" s="155"/>
      <c r="J21" s="196"/>
      <c r="K21" s="197"/>
    </row>
    <row r="22" spans="2:11" ht="15" customHeight="1" x14ac:dyDescent="0.25">
      <c r="B22" s="153" t="s">
        <v>206</v>
      </c>
      <c r="C22" s="248">
        <f t="shared" si="0"/>
        <v>0</v>
      </c>
      <c r="D22" s="249"/>
      <c r="E22" s="250"/>
      <c r="F22" s="251"/>
      <c r="G22" s="156"/>
      <c r="H22" s="156"/>
      <c r="I22" s="157"/>
      <c r="J22" s="198"/>
      <c r="K22" s="199"/>
    </row>
    <row r="23" spans="2:11" ht="15" customHeight="1" thickBot="1" x14ac:dyDescent="0.3">
      <c r="B23" s="158" t="s">
        <v>126</v>
      </c>
      <c r="C23" s="190">
        <f>SUM(C12:C22)</f>
        <v>4304090.8500000006</v>
      </c>
      <c r="D23" s="163">
        <f t="shared" ref="D23:I23" si="1">SUM(D12:D22)</f>
        <v>3945890.04</v>
      </c>
      <c r="E23" s="159">
        <f t="shared" si="1"/>
        <v>3945890.04</v>
      </c>
      <c r="F23" s="160">
        <f t="shared" si="1"/>
        <v>0</v>
      </c>
      <c r="G23" s="159">
        <f t="shared" si="1"/>
        <v>358201.08</v>
      </c>
      <c r="H23" s="159">
        <f t="shared" si="1"/>
        <v>358201.08</v>
      </c>
      <c r="I23" s="160">
        <f t="shared" si="1"/>
        <v>0</v>
      </c>
      <c r="J23" s="200">
        <f>SUM(J12:J22)</f>
        <v>0</v>
      </c>
      <c r="K23" s="201">
        <f>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3" customWidth="1"/>
    <col min="2" max="2" width="13.85546875" style="63" customWidth="1"/>
  </cols>
  <sheetData>
    <row r="2" spans="1:2" x14ac:dyDescent="0.25">
      <c r="A2" s="341" t="s">
        <v>127</v>
      </c>
      <c r="B2" s="341"/>
    </row>
    <row r="3" spans="1:2" ht="15.75" x14ac:dyDescent="0.25">
      <c r="A3" s="342" t="s">
        <v>128</v>
      </c>
      <c r="B3" s="342"/>
    </row>
    <row r="4" spans="1:2" ht="24.6" customHeight="1" x14ac:dyDescent="0.25">
      <c r="A4" s="343" t="s">
        <v>129</v>
      </c>
      <c r="B4" s="343"/>
    </row>
    <row r="5" spans="1:2" x14ac:dyDescent="0.25">
      <c r="A5" s="64" t="s">
        <v>130</v>
      </c>
      <c r="B5" s="65">
        <f>'1. Reconciliation'!C23</f>
        <v>121093673</v>
      </c>
    </row>
    <row r="6" spans="1:2" x14ac:dyDescent="0.25">
      <c r="A6" s="64" t="s">
        <v>131</v>
      </c>
      <c r="B6" s="66">
        <f>'1. Reconciliation'!C26</f>
        <v>4.4581550468264827E-2</v>
      </c>
    </row>
    <row r="7" spans="1:2" x14ac:dyDescent="0.25">
      <c r="A7" s="64" t="s">
        <v>132</v>
      </c>
      <c r="B7" s="66">
        <f>'1. Reconciliation'!C75</f>
        <v>1.4479914820117616E-2</v>
      </c>
    </row>
    <row r="8" spans="1:2" x14ac:dyDescent="0.25">
      <c r="A8" s="67"/>
      <c r="B8" s="68"/>
    </row>
    <row r="9" spans="1:2" x14ac:dyDescent="0.25">
      <c r="A9" s="69" t="s">
        <v>133</v>
      </c>
      <c r="B9" s="70"/>
    </row>
    <row r="10" spans="1:2" ht="39.6" customHeight="1" x14ac:dyDescent="0.25">
      <c r="A10" s="64" t="s">
        <v>134</v>
      </c>
      <c r="B10" s="71">
        <f>+'1. Reconciliation'!C12</f>
        <v>6708957</v>
      </c>
    </row>
    <row r="11" spans="1:2" x14ac:dyDescent="0.25">
      <c r="A11" s="64" t="s">
        <v>135</v>
      </c>
      <c r="B11" s="71">
        <f>+'1. Reconciliation'!C14</f>
        <v>1286285</v>
      </c>
    </row>
    <row r="12" spans="1:2" x14ac:dyDescent="0.25">
      <c r="A12" s="64" t="s">
        <v>23</v>
      </c>
      <c r="B12" s="71">
        <f>+'1. Reconciliation'!C16</f>
        <v>-4409603</v>
      </c>
    </row>
    <row r="13" spans="1:2" x14ac:dyDescent="0.25">
      <c r="A13" s="64" t="s">
        <v>24</v>
      </c>
      <c r="B13" s="71">
        <f>+'1. Reconciliation'!C17</f>
        <v>0</v>
      </c>
    </row>
    <row r="14" spans="1:2" ht="44.45" customHeight="1" x14ac:dyDescent="0.25">
      <c r="A14" s="64" t="s">
        <v>25</v>
      </c>
      <c r="B14" s="71">
        <f>+'1. Reconciliation'!C18</f>
        <v>2879448</v>
      </c>
    </row>
    <row r="15" spans="1:2" x14ac:dyDescent="0.25">
      <c r="A15" s="72" t="s">
        <v>136</v>
      </c>
      <c r="B15" s="73">
        <f>SUM(B10:B14)</f>
        <v>6465087</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137</v>
      </c>
    </row>
    <row r="3" spans="2:5" x14ac:dyDescent="0.25">
      <c r="B3" t="s">
        <v>138</v>
      </c>
      <c r="C3" t="s">
        <v>139</v>
      </c>
      <c r="D3" t="s">
        <v>115</v>
      </c>
      <c r="E3" t="s">
        <v>114</v>
      </c>
    </row>
    <row r="4" spans="2:5" x14ac:dyDescent="0.25">
      <c r="B4" s="16" t="s">
        <v>140</v>
      </c>
      <c r="C4" s="25">
        <v>180</v>
      </c>
      <c r="D4" s="25">
        <v>100</v>
      </c>
      <c r="E4" s="16" t="s">
        <v>141</v>
      </c>
    </row>
    <row r="5" spans="2:5" x14ac:dyDescent="0.25">
      <c r="B5" s="16" t="s">
        <v>142</v>
      </c>
      <c r="C5" s="25">
        <v>163</v>
      </c>
      <c r="D5" s="25">
        <v>100</v>
      </c>
      <c r="E5" s="25">
        <v>85</v>
      </c>
    </row>
    <row r="6" spans="2:5" x14ac:dyDescent="0.25">
      <c r="B6" s="16" t="s">
        <v>143</v>
      </c>
      <c r="C6" s="25">
        <v>186</v>
      </c>
      <c r="D6" s="25">
        <v>100</v>
      </c>
      <c r="E6" s="25">
        <v>58</v>
      </c>
    </row>
    <row r="7" spans="2:5" x14ac:dyDescent="0.25">
      <c r="B7" s="16" t="s">
        <v>144</v>
      </c>
      <c r="C7" s="25">
        <v>92</v>
      </c>
      <c r="D7" s="25">
        <v>100</v>
      </c>
      <c r="E7" s="25">
        <v>52</v>
      </c>
    </row>
    <row r="8" spans="2:5" x14ac:dyDescent="0.25">
      <c r="B8" s="16" t="s">
        <v>145</v>
      </c>
      <c r="C8" s="25">
        <v>166</v>
      </c>
      <c r="D8" s="25">
        <v>100</v>
      </c>
      <c r="E8" s="25">
        <v>76</v>
      </c>
    </row>
    <row r="9" spans="2:5" x14ac:dyDescent="0.25">
      <c r="B9" s="16" t="s">
        <v>146</v>
      </c>
      <c r="C9" s="25">
        <v>130</v>
      </c>
      <c r="D9" s="25">
        <v>100</v>
      </c>
      <c r="E9" s="25">
        <v>75</v>
      </c>
    </row>
    <row r="10" spans="2:5" x14ac:dyDescent="0.25">
      <c r="B10" s="16" t="s">
        <v>147</v>
      </c>
      <c r="C10" s="25">
        <v>160</v>
      </c>
      <c r="D10" s="25">
        <v>100</v>
      </c>
      <c r="E10" s="25">
        <v>79</v>
      </c>
    </row>
    <row r="11" spans="2:5" x14ac:dyDescent="0.25">
      <c r="B11" s="16" t="s">
        <v>148</v>
      </c>
      <c r="C11" s="25">
        <v>120</v>
      </c>
      <c r="D11" s="25">
        <v>100</v>
      </c>
      <c r="E11" s="25">
        <v>81</v>
      </c>
    </row>
    <row r="12" spans="2:5" x14ac:dyDescent="0.25">
      <c r="B12" s="16" t="s">
        <v>149</v>
      </c>
      <c r="C12" s="25">
        <v>160</v>
      </c>
      <c r="D12" s="25">
        <v>100</v>
      </c>
      <c r="E12" s="25">
        <v>72</v>
      </c>
    </row>
    <row r="13" spans="2:5" x14ac:dyDescent="0.25">
      <c r="B13" s="16" t="s">
        <v>150</v>
      </c>
      <c r="C13" s="25">
        <v>150</v>
      </c>
      <c r="D13" s="25">
        <v>100</v>
      </c>
      <c r="E13" s="16">
        <v>55</v>
      </c>
    </row>
    <row r="14" spans="2:5" x14ac:dyDescent="0.25">
      <c r="B14" s="16" t="s">
        <v>151</v>
      </c>
      <c r="C14" s="25">
        <v>264</v>
      </c>
      <c r="D14" s="25">
        <v>100</v>
      </c>
      <c r="E14" s="25">
        <v>44</v>
      </c>
    </row>
    <row r="15" spans="2:5" x14ac:dyDescent="0.25">
      <c r="B15" s="16" t="s">
        <v>152</v>
      </c>
      <c r="C15" s="25">
        <v>178</v>
      </c>
      <c r="D15" s="25">
        <v>100</v>
      </c>
      <c r="E15" s="25">
        <v>108</v>
      </c>
    </row>
    <row r="16" spans="2:5" x14ac:dyDescent="0.25">
      <c r="B16" s="16" t="s">
        <v>153</v>
      </c>
      <c r="C16" s="25">
        <v>185</v>
      </c>
      <c r="D16" s="25">
        <v>100</v>
      </c>
      <c r="E16" s="25">
        <v>89</v>
      </c>
    </row>
    <row r="17" spans="2:5" x14ac:dyDescent="0.25">
      <c r="B17" s="16" t="s">
        <v>154</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Devin Bachelder</cp:lastModifiedBy>
  <cp:revision/>
  <dcterms:created xsi:type="dcterms:W3CDTF">2020-01-09T18:52:12Z</dcterms:created>
  <dcterms:modified xsi:type="dcterms:W3CDTF">2022-06-30T18:09:12Z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