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27E7EEF4-1873-400C-B3B0-CD735EE81E8B}" xr6:coauthVersionLast="47" xr6:coauthVersionMax="47" xr10:uidLastSave="{00000000-0000-0000-0000-000000000000}"/>
  <bookViews>
    <workbookView xWindow="-120" yWindow="-120" windowWidth="29040" windowHeight="15840" tabRatio="629" activeTab="1" xr2:uid="{00000000-000D-0000-FFFF-FFFF00000000}"/>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Fu" sheetId="20" r:id="rId8"/>
    <sheet name="Edit of Request Summary" sheetId="4"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Reconciliation'!$B$67:$H$116</definedName>
    <definedName name="_xlnm.Print_Area" localSheetId="2">'2. Charge and NPR Detail'!$B$6:$J$64</definedName>
    <definedName name="_xlnm.Print_Area" localSheetId="3">'3. Utilization'!$B$1:$D$16</definedName>
    <definedName name="_xlnm.Print_Area" localSheetId="4">'4. Inflation'!$B$1:$D$20</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8" l="1"/>
  <c r="D10" i="8"/>
  <c r="B5" i="4" l="1"/>
  <c r="C11" i="7" l="1"/>
  <c r="C72" i="15"/>
  <c r="C79" i="15"/>
  <c r="C80" i="15"/>
  <c r="C78" i="15"/>
  <c r="C74" i="15"/>
  <c r="C81" i="15"/>
  <c r="C73" i="15"/>
  <c r="C75" i="15"/>
  <c r="C76" i="15"/>
  <c r="C77" i="15"/>
  <c r="C82" i="15"/>
  <c r="C12" i="15"/>
  <c r="G23" i="13"/>
  <c r="E22" i="13"/>
  <c r="E21" i="13"/>
  <c r="I23" i="13"/>
  <c r="J23" i="13"/>
  <c r="E23" i="13" s="1"/>
  <c r="C12" i="13"/>
  <c r="C11" i="13"/>
  <c r="C15" i="13" s="1"/>
  <c r="C10" i="7"/>
  <c r="D9" i="7"/>
  <c r="C9" i="7"/>
  <c r="K82" i="15"/>
  <c r="D108" i="15"/>
  <c r="E47" i="13"/>
  <c r="E46" i="13"/>
  <c r="D46" i="13"/>
  <c r="E44" i="13"/>
  <c r="C44" i="13"/>
  <c r="C49" i="13" s="1"/>
  <c r="D12" i="20"/>
  <c r="C12" i="20" s="1"/>
  <c r="C23" i="20" s="1"/>
  <c r="C13" i="20"/>
  <c r="F16" i="20"/>
  <c r="E16" i="20"/>
  <c r="D16" i="20"/>
  <c r="C16" i="20"/>
  <c r="C20" i="20"/>
  <c r="C19" i="20"/>
  <c r="C18" i="20"/>
  <c r="C17" i="20"/>
  <c r="C15" i="20"/>
  <c r="C14" i="20"/>
  <c r="F10" i="8"/>
  <c r="E10" i="8"/>
  <c r="F11" i="15"/>
  <c r="E11" i="15"/>
  <c r="I34" i="13"/>
  <c r="G34" i="13"/>
  <c r="E34" i="13" s="1"/>
  <c r="D34" i="13" s="1"/>
  <c r="D47" i="13"/>
  <c r="D44" i="13"/>
  <c r="E32" i="13"/>
  <c r="D32" i="13" s="1"/>
  <c r="C32" i="13"/>
  <c r="C39" i="13" s="1"/>
  <c r="C53" i="13" s="1"/>
  <c r="C21" i="13"/>
  <c r="E16" i="16"/>
  <c r="C58" i="15"/>
  <c r="C110" i="15"/>
  <c r="C115" i="15"/>
  <c r="C116" i="15"/>
  <c r="D109" i="15"/>
  <c r="D107" i="15"/>
  <c r="D106" i="15"/>
  <c r="D105" i="15"/>
  <c r="D104" i="15"/>
  <c r="D103" i="15"/>
  <c r="D102" i="15"/>
  <c r="D101" i="15"/>
  <c r="D100" i="15"/>
  <c r="D99" i="15"/>
  <c r="D98" i="15"/>
  <c r="D97" i="15"/>
  <c r="D96" i="15"/>
  <c r="D95" i="15"/>
  <c r="D110" i="15" s="1"/>
  <c r="H83" i="15"/>
  <c r="H85" i="15" s="1"/>
  <c r="H86" i="15" s="1"/>
  <c r="C71" i="15"/>
  <c r="D52" i="15"/>
  <c r="D51" i="15"/>
  <c r="D50" i="15"/>
  <c r="D49" i="15"/>
  <c r="D48" i="15"/>
  <c r="D47" i="15"/>
  <c r="D46" i="15"/>
  <c r="D45" i="15"/>
  <c r="D44" i="15"/>
  <c r="D43" i="15"/>
  <c r="D42" i="15"/>
  <c r="D53" i="15" s="1"/>
  <c r="D41" i="15"/>
  <c r="D39" i="15"/>
  <c r="H24" i="15"/>
  <c r="H26" i="15" s="1"/>
  <c r="H27" i="15" s="1"/>
  <c r="C23" i="15"/>
  <c r="C19" i="15"/>
  <c r="C18" i="15"/>
  <c r="C17" i="15"/>
  <c r="C16" i="15"/>
  <c r="C15" i="15"/>
  <c r="C13" i="15"/>
  <c r="C11" i="15"/>
  <c r="C54" i="13" s="1"/>
  <c r="C112" i="15"/>
  <c r="C113" i="15"/>
  <c r="C22" i="20"/>
  <c r="C21" i="20"/>
  <c r="D16" i="16"/>
  <c r="C40" i="15"/>
  <c r="F7" i="16"/>
  <c r="J23" i="20"/>
  <c r="H23" i="20"/>
  <c r="G23" i="20"/>
  <c r="D23" i="20"/>
  <c r="E23" i="20"/>
  <c r="F15" i="16"/>
  <c r="F14" i="16"/>
  <c r="F13" i="16"/>
  <c r="F12" i="16"/>
  <c r="F11" i="16"/>
  <c r="F10" i="16"/>
  <c r="F9" i="16"/>
  <c r="F16" i="16" s="1"/>
  <c r="F8" i="16"/>
  <c r="D21" i="13"/>
  <c r="H49" i="13"/>
  <c r="G49" i="13"/>
  <c r="F49" i="13"/>
  <c r="E48" i="13"/>
  <c r="E45" i="13"/>
  <c r="D45" i="13" s="1"/>
  <c r="J39" i="13"/>
  <c r="I39" i="13"/>
  <c r="H39" i="13"/>
  <c r="G39" i="13"/>
  <c r="F39" i="13"/>
  <c r="I25" i="13"/>
  <c r="H25" i="13"/>
  <c r="G25" i="13"/>
  <c r="F25" i="13"/>
  <c r="C25" i="13"/>
  <c r="E24" i="13"/>
  <c r="D22" i="13"/>
  <c r="C27" i="21"/>
  <c r="C23" i="21"/>
  <c r="D27" i="21"/>
  <c r="D23" i="21"/>
  <c r="C29" i="15" s="1"/>
  <c r="B11" i="4"/>
  <c r="D40" i="15"/>
  <c r="C53" i="15"/>
  <c r="C59" i="15" s="1"/>
  <c r="C61" i="15" s="1"/>
  <c r="C62" i="15" s="1"/>
  <c r="F53" i="15"/>
  <c r="C28" i="21"/>
  <c r="C38" i="21" s="1"/>
  <c r="D15" i="7"/>
  <c r="C18" i="7"/>
  <c r="C15" i="7"/>
  <c r="D17" i="7"/>
  <c r="B12" i="4"/>
  <c r="B13" i="4"/>
  <c r="B14" i="4"/>
  <c r="B10" i="4"/>
  <c r="B15" i="4"/>
  <c r="B7" i="4"/>
  <c r="E83" i="15"/>
  <c r="E85" i="15" s="1"/>
  <c r="E86" i="15" s="1"/>
  <c r="C22" i="15"/>
  <c r="D83" i="15"/>
  <c r="D85" i="15" s="1"/>
  <c r="D86" i="15" s="1"/>
  <c r="G83" i="15"/>
  <c r="G85" i="15" s="1"/>
  <c r="G86" i="15" s="1"/>
  <c r="F24" i="15"/>
  <c r="F26" i="15" s="1"/>
  <c r="F27" i="15" s="1"/>
  <c r="G24" i="15"/>
  <c r="G26" i="15" s="1"/>
  <c r="G27" i="15" s="1"/>
  <c r="C21" i="15"/>
  <c r="C14" i="15"/>
  <c r="D24" i="15"/>
  <c r="D26" i="15" s="1"/>
  <c r="D27" i="15" s="1"/>
  <c r="E24" i="15"/>
  <c r="E26" i="15" s="1"/>
  <c r="E27" i="15" s="1"/>
  <c r="C20" i="15"/>
  <c r="C24" i="15" s="1"/>
  <c r="F83" i="15"/>
  <c r="F85" i="15" s="1"/>
  <c r="F86" i="15" s="1"/>
  <c r="B6" i="4"/>
  <c r="E25" i="13" l="1"/>
  <c r="D25" i="13" s="1"/>
  <c r="D23" i="13"/>
  <c r="C42" i="21"/>
  <c r="C46" i="21" s="1"/>
  <c r="C45" i="21"/>
  <c r="C55" i="13"/>
  <c r="F12" i="20"/>
  <c r="D39" i="13"/>
  <c r="E49" i="13"/>
  <c r="D48" i="13"/>
  <c r="D49" i="13" s="1"/>
  <c r="C55" i="15"/>
  <c r="C56" i="15" s="1"/>
  <c r="D28" i="21"/>
  <c r="D38" i="21" s="1"/>
  <c r="J25" i="13"/>
  <c r="C83" i="15"/>
  <c r="C88" i="15"/>
  <c r="C89" i="15" s="1"/>
  <c r="C85" i="15"/>
  <c r="C86" i="15" s="1"/>
  <c r="F54" i="13"/>
  <c r="C30" i="15"/>
  <c r="C32" i="15" s="1"/>
  <c r="C33" i="15" s="1"/>
  <c r="C26" i="15"/>
  <c r="E39" i="13"/>
  <c r="F53" i="13" s="1"/>
  <c r="F55" i="13" s="1"/>
  <c r="D53" i="13" l="1"/>
  <c r="E53" i="13" s="1"/>
  <c r="F23" i="20"/>
  <c r="I12" i="20"/>
  <c r="D45" i="21"/>
  <c r="D42" i="21"/>
  <c r="D46" i="21" s="1"/>
  <c r="D54" i="13"/>
  <c r="D55" i="13" s="1"/>
  <c r="C27" i="15"/>
  <c r="E54" i="13" s="1"/>
  <c r="E55" i="13" s="1"/>
  <c r="K12" i="20" l="1"/>
  <c r="K23" i="20" s="1"/>
  <c r="I23" i="20"/>
</calcChain>
</file>

<file path=xl/sharedStrings.xml><?xml version="1.0" encoding="utf-8"?>
<sst xmlns="http://schemas.openxmlformats.org/spreadsheetml/2006/main" count="376" uniqueCount="274">
  <si>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</si>
  <si>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</si>
  <si>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</si>
  <si>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</si>
  <si>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</si>
  <si>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</si>
  <si>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</si>
  <si>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</si>
  <si>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</si>
  <si>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</si>
  <si>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</si>
  <si>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</si>
  <si>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</si>
  <si>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</si>
  <si>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</si>
  <si>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</si>
  <si>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</si>
  <si>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</si>
  <si>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</si>
  <si>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</si>
  <si>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</si>
  <si>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</si>
  <si>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</si>
  <si>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</si>
  <si>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</si>
  <si>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</si>
  <si>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</si>
  <si>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</si>
  <si>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</si>
  <si>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</si>
  <si>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</si>
  <si>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</si>
  <si>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</si>
  <si>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</si>
  <si>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</si>
  <si>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</si>
  <si>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</si>
  <si>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</si>
  <si>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</si>
  <si>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</si>
  <si>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</si>
  <si>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</si>
  <si>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</si>
  <si>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</si>
  <si>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</si>
  <si>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</si>
  <si>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</si>
  <si>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</si>
  <si>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</si>
  <si>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</si>
  <si>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</si>
  <si>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</si>
  <si>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</si>
  <si>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</si>
  <si>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</si>
  <si>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</si>
  <si>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</si>
  <si>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</si>
  <si>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</si>
  <si>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</si>
  <si>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</si>
  <si>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</si>
  <si>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</si>
  <si>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</si>
  <si>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</si>
  <si>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</si>
  <si>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</si>
  <si>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</si>
  <si>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</si>
  <si>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</si>
  <si>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</si>
  <si>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</si>
  <si>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</si>
  <si>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</si>
  <si>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</si>
  <si>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</si>
  <si>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</si>
  <si>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</si>
  <si>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</si>
  <si>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</si>
  <si>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</si>
  <si>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</si>
  <si>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</si>
  <si>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</si>
  <si>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</si>
  <si>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</si>
  <si>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</si>
  <si>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</si>
  <si>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</si>
  <si>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</si>
  <si>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</si>
  <si>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</si>
  <si>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</si>
  <si>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</si>
  <si>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</si>
  <si>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</si>
  <si>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</si>
  <si>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</si>
  <si>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</si>
  <si>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</si>
  <si>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</si>
  <si>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</si>
  <si>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</si>
  <si>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</si>
  <si>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</si>
  <si>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</si>
  <si>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</si>
  <si>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</si>
  <si>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</si>
  <si>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</si>
  <si>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</si>
  <si>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</si>
  <si>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</si>
  <si>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</si>
  <si>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</si>
  <si>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</si>
  <si>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</si>
  <si>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</si>
  <si>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</si>
  <si>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</si>
  <si>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</si>
  <si>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</si>
  <si>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</si>
  <si>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</si>
  <si>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</si>
  <si>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</si>
  <si>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</si>
  <si>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</si>
  <si>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</si>
  <si>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</si>
  <si>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</si>
  <si>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</si>
  <si>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</si>
  <si>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</si>
  <si>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</si>
  <si>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</si>
  <si>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</si>
  <si>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</si>
  <si>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</si>
  <si>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</si>
  <si>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</si>
  <si>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</si>
  <si>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</si>
  <si>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</si>
  <si>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</si>
  <si>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</si>
  <si>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</si>
  <si>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</si>
  <si>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</si>
  <si>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</si>
  <si>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</si>
  <si>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</si>
  <si>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</si>
  <si>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</si>
  <si>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</si>
  <si>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</si>
  <si>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</si>
  <si>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</si>
  <si>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</si>
  <si>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</si>
  <si>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</si>
  <si>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</si>
  <si>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</si>
  <si>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</si>
  <si>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</si>
  <si>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</si>
  <si>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</si>
  <si>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</si>
  <si>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</si>
  <si>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</si>
  <si>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</si>
  <si>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</si>
  <si>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</si>
  <si>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</si>
  <si>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</si>
  <si>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</si>
  <si>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</si>
  <si>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</si>
  <si>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</si>
  <si>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</si>
  <si>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</si>
  <si>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</si>
  <si>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</si>
  <si>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</si>
  <si>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</si>
  <si>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</si>
  <si>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</si>
  <si>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</si>
  <si>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Other (add rows as necessary)</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</si>
  <si>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</si>
  <si>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</si>
  <si>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</si>
  <si>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</si>
  <si>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</si>
  <si>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</si>
  <si>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</si>
  <si>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</si>
  <si>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</si>
  <si>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</si>
  <si>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</si>
  <si>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</si>
  <si>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</si>
  <si>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</si>
  <si>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</si>
  <si>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</si>
  <si>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</si>
  <si>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</si>
  <si>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</si>
  <si>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</si>
  <si>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</si>
  <si>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</si>
  <si>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</si>
  <si>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</si>
  <si>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</si>
  <si>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</si>
  <si>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</si>
  <si>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</si>
  <si>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</si>
  <si>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</si>
  <si>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</si>
  <si>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</si>
  <si>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</si>
  <si>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</si>
  <si>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</si>
  <si>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</si>
  <si>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</si>
  <si>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</si>
  <si>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</si>
  <si>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</si>
  <si>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</si>
  <si>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</si>
  <si>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</si>
  <si>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</si>
  <si>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</si>
  <si>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</si>
  <si>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</si>
  <si>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</si>
  <si>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</si>
  <si>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</si>
  <si>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</si>
  <si>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</si>
  <si>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</si>
  <si>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</si>
  <si>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</si>
  <si>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</si>
  <si>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</si>
  <si>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</si>
  <si>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</si>
  <si>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</si>
  <si>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New Services</t>
  </si>
  <si>
    <t>Expanded Services</t>
  </si>
  <si>
    <t>Depreciation</t>
  </si>
  <si>
    <t>Purchased Services</t>
  </si>
  <si>
    <t>Deprec, Interest, Provider Tax</t>
  </si>
  <si>
    <t>Inflation on salaries and fringe benefits</t>
  </si>
  <si>
    <t>Inflation only, excludes utilization increase 1 drug</t>
  </si>
  <si>
    <t>Inflation only</t>
  </si>
  <si>
    <t>Included with other (&lt;5%)</t>
  </si>
  <si>
    <t>No  inflation on these expense categories</t>
  </si>
  <si>
    <t>Volume</t>
  </si>
  <si>
    <t>NVRH DOES NOT SPLIT NPR BETWEEN IN AND OUT PATIENT</t>
  </si>
  <si>
    <t>Drug (One Drug)</t>
  </si>
  <si>
    <t>Y</t>
  </si>
  <si>
    <t>TBD</t>
  </si>
  <si>
    <t>Projection derived as of: April 30 2021</t>
  </si>
  <si>
    <t>COVID Testing</t>
  </si>
  <si>
    <t>COVID Equipment - Stimulus Funds</t>
  </si>
  <si>
    <t>Medicare Sequestration Reinstated</t>
  </si>
  <si>
    <t>New /Expanded Services</t>
  </si>
  <si>
    <t>Physician Practices</t>
  </si>
  <si>
    <t>Operating Room (Based on Minutes)</t>
  </si>
  <si>
    <t>Emergency Room</t>
  </si>
  <si>
    <t>COVID Testing and Extra Related Expenses</t>
  </si>
  <si>
    <t>Physical Therapy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</si>
</sst>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
      <i/>
      <sz val="11"/>
      <color rgb="FFFF0000"/>
      <name val="Calibri"/>
      <family val="2"/>
    </font>
    <font>
      <sz val="11"/>
      <color rgb="FF0070C0"/>
      <name val="Calibri"/>
      <family val="2"/>
      <scheme val="minor"/>
    </font>
    <font>
      <sz val="11"/>
      <color rgb="FF0070C0"/>
      <name val="Calibri"/>
      <family val="2"/>
    </font>
    <font>
      <sz val="11"/>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425">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9" fontId="25" fillId="3" borderId="4" xfId="3" applyFont="1" applyFill="1" applyBorder="1"/>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9" fontId="4" fillId="11" borderId="14" xfId="2" applyNumberFormat="1"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44" fontId="26" fillId="19" borderId="4" xfId="2"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20" xfId="0" applyFont="1" applyBorder="1"/>
    <xf numFmtId="0" fontId="1" fillId="0" borderId="14" xfId="0" applyFont="1" applyBorder="1"/>
    <xf numFmtId="0" fontId="1" fillId="0" borderId="10" xfId="0" applyFont="1" applyBorder="1"/>
    <xf numFmtId="0" fontId="2" fillId="0" borderId="40" xfId="0" applyFont="1" applyBorder="1" applyAlignment="1">
      <alignment horizontal="left" indent="3"/>
    </xf>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164" fontId="18" fillId="5" borderId="0" xfId="3" applyNumberFormat="1" applyFont="1" applyFill="1" applyBorder="1" applyAlignment="1">
      <alignment horizontal="left"/>
    </xf>
    <xf numFmtId="164" fontId="18" fillId="5" borderId="0" xfId="3" applyNumberFormat="1" applyFont="1" applyFill="1" applyBorder="1" applyAlignment="1">
      <alignment horizontal="center"/>
    </xf>
    <xf numFmtId="165" fontId="0" fillId="0" borderId="4" xfId="2" applyNumberFormat="1" applyFont="1" applyBorder="1" applyAlignment="1">
      <alignment horizontal="center"/>
    </xf>
    <xf numFmtId="10" fontId="0" fillId="0" borderId="4" xfId="3" applyNumberFormat="1" applyFont="1" applyBorder="1" applyAlignment="1">
      <alignment horizontal="center"/>
    </xf>
    <xf numFmtId="166" fontId="0" fillId="0" borderId="4" xfId="1" applyNumberFormat="1" applyFont="1" applyBorder="1" applyAlignment="1">
      <alignment horizontal="center"/>
    </xf>
    <xf numFmtId="9" fontId="0" fillId="3" borderId="4" xfId="2" applyNumberFormat="1" applyFont="1" applyFill="1" applyBorder="1" applyAlignment="1">
      <alignment horizontal="center"/>
    </xf>
    <xf numFmtId="164" fontId="0" fillId="3" borderId="4" xfId="2" applyNumberFormat="1" applyFont="1" applyFill="1" applyBorder="1" applyAlignment="1">
      <alignment horizontal="center"/>
    </xf>
    <xf numFmtId="165" fontId="4" fillId="0" borderId="0" xfId="5" applyNumberFormat="1"/>
    <xf numFmtId="0" fontId="30" fillId="0" borderId="0" xfId="5" applyFont="1"/>
    <xf numFmtId="44" fontId="4" fillId="0" borderId="0" xfId="5" applyNumberFormat="1"/>
    <xf numFmtId="44" fontId="4" fillId="5" borderId="0" xfId="5" applyNumberFormat="1" applyFill="1"/>
    <xf numFmtId="44" fontId="4" fillId="5" borderId="0" xfId="3" applyNumberFormat="1" applyFont="1" applyFill="1" applyBorder="1"/>
    <xf numFmtId="164" fontId="4" fillId="11" borderId="0" xfId="3" applyNumberFormat="1" applyFont="1" applyFill="1" applyBorder="1"/>
    <xf numFmtId="166" fontId="8" fillId="0" borderId="12" xfId="1" applyNumberFormat="1" applyFont="1" applyBorder="1"/>
    <xf numFmtId="166" fontId="8" fillId="0" borderId="13" xfId="1" applyNumberFormat="1" applyFont="1" applyBorder="1"/>
    <xf numFmtId="166" fontId="31" fillId="0" borderId="0" xfId="1" applyNumberFormat="1" applyFont="1"/>
    <xf numFmtId="166" fontId="31" fillId="5" borderId="0" xfId="1" applyNumberFormat="1" applyFont="1" applyFill="1" applyBorder="1" applyAlignment="1">
      <alignment horizontal="center"/>
    </xf>
    <xf numFmtId="165" fontId="31" fillId="0" borderId="0" xfId="0" applyNumberFormat="1" applyFont="1"/>
    <xf numFmtId="165" fontId="32" fillId="0" borderId="4" xfId="3" applyNumberFormat="1" applyFont="1" applyFill="1" applyBorder="1"/>
    <xf numFmtId="164" fontId="31" fillId="0" borderId="0" xfId="3" applyNumberFormat="1" applyFont="1" applyBorder="1" applyAlignment="1">
      <alignment horizontal="center"/>
    </xf>
    <xf numFmtId="164" fontId="31" fillId="0" borderId="0" xfId="3" applyNumberFormat="1" applyFont="1" applyFill="1" applyBorder="1" applyAlignment="1">
      <alignment horizontal="center"/>
    </xf>
    <xf numFmtId="165" fontId="31" fillId="0" borderId="4" xfId="2" applyNumberFormat="1" applyFont="1" applyBorder="1" applyAlignment="1">
      <alignment horizontal="center"/>
    </xf>
    <xf numFmtId="164" fontId="31" fillId="0" borderId="0" xfId="3" applyNumberFormat="1" applyFont="1"/>
    <xf numFmtId="0" fontId="31" fillId="0" borderId="0" xfId="0" applyFont="1"/>
    <xf numFmtId="166" fontId="31" fillId="0" borderId="4" xfId="1" applyNumberFormat="1" applyFont="1" applyBorder="1" applyAlignment="1">
      <alignment horizontal="center"/>
    </xf>
    <xf numFmtId="44" fontId="31" fillId="0" borderId="4" xfId="2" applyFont="1" applyBorder="1" applyAlignment="1">
      <alignment horizontal="center"/>
    </xf>
    <xf numFmtId="44" fontId="31" fillId="0" borderId="4" xfId="2" applyFont="1" applyBorder="1" applyAlignment="1">
      <alignment horizontal="left"/>
    </xf>
    <xf numFmtId="166" fontId="31" fillId="0" borderId="0" xfId="0" applyNumberFormat="1" applyFont="1"/>
    <xf numFmtId="3" fontId="31" fillId="0" borderId="0" xfId="0" applyNumberFormat="1" applyFont="1"/>
    <xf numFmtId="166" fontId="31" fillId="0" borderId="4" xfId="1" applyNumberFormat="1" applyFont="1" applyBorder="1" applyProtection="1">
      <protection locked="0"/>
    </xf>
    <xf numFmtId="0" fontId="31" fillId="0" borderId="0" xfId="0" applyFont="1" applyAlignment="1">
      <alignment horizontal="center"/>
    </xf>
    <xf numFmtId="166" fontId="31" fillId="0" borderId="0" xfId="0" applyNumberFormat="1" applyFont="1" applyAlignment="1">
      <alignment horizontal="center"/>
    </xf>
    <xf numFmtId="165" fontId="31" fillId="0" borderId="0" xfId="1" applyNumberFormat="1" applyFont="1"/>
    <xf numFmtId="44" fontId="32" fillId="0" borderId="0" xfId="5" applyNumberFormat="1" applyFont="1"/>
    <xf numFmtId="44" fontId="32" fillId="5" borderId="0" xfId="3" applyNumberFormat="1" applyFont="1" applyFill="1" applyBorder="1"/>
    <xf numFmtId="165" fontId="32" fillId="5" borderId="0" xfId="5" applyNumberFormat="1" applyFont="1" applyFill="1"/>
    <xf numFmtId="166" fontId="0" fillId="5" borderId="0" xfId="1" applyNumberFormat="1" applyFont="1" applyFill="1" applyBorder="1"/>
    <xf numFmtId="9" fontId="5" fillId="0" borderId="4" xfId="3" applyNumberFormat="1" applyFont="1" applyBorder="1"/>
    <xf numFmtId="164" fontId="4" fillId="0" borderId="4" xfId="3" applyNumberFormat="1" applyFont="1" applyBorder="1"/>
    <xf numFmtId="166" fontId="1" fillId="0" borderId="0" xfId="1" applyNumberFormat="1" applyFont="1" applyBorder="1"/>
    <xf numFmtId="166" fontId="1" fillId="0" borderId="0" xfId="1" applyNumberFormat="1" applyFont="1"/>
    <xf numFmtId="166" fontId="31" fillId="0" borderId="17" xfId="1" applyNumberFormat="1" applyFont="1" applyBorder="1"/>
    <xf numFmtId="166" fontId="1" fillId="0" borderId="17" xfId="1" applyNumberFormat="1" applyFont="1" applyBorder="1"/>
    <xf numFmtId="166" fontId="0" fillId="0" borderId="0" xfId="1" applyNumberFormat="1" applyFont="1" applyFill="1" applyBorder="1"/>
    <xf numFmtId="165" fontId="1" fillId="0" borderId="27" xfId="2" applyNumberFormat="1" applyFont="1" applyBorder="1"/>
    <xf numFmtId="165" fontId="1" fillId="0" borderId="40" xfId="2" applyNumberFormat="1" applyFont="1" applyBorder="1"/>
    <xf numFmtId="165" fontId="1" fillId="0" borderId="38" xfId="2" applyNumberFormat="1" applyFont="1" applyBorder="1"/>
    <xf numFmtId="165" fontId="1" fillId="0" borderId="39" xfId="2" applyNumberFormat="1" applyFont="1" applyBorder="1"/>
    <xf numFmtId="166" fontId="16" fillId="0" borderId="0" xfId="1" applyNumberFormat="1" applyFont="1"/>
    <xf numFmtId="43" fontId="0" fillId="0" borderId="0" xfId="1" applyFont="1"/>
    <xf numFmtId="43" fontId="0" fillId="5" borderId="0" xfId="1" applyFont="1" applyFill="1" applyBorder="1"/>
    <xf numFmtId="167" fontId="4" fillId="0" borderId="0" xfId="5" applyNumberFormat="1"/>
    <xf numFmtId="166" fontId="18" fillId="0" borderId="0" xfId="0" applyNumberFormat="1" applyFont="1"/>
    <xf numFmtId="44" fontId="0" fillId="0" borderId="0" xfId="0" applyNumberFormat="1"/>
    <xf numFmtId="166" fontId="31" fillId="0" borderId="0" xfId="1" applyNumberFormat="1" applyFont="1" applyAlignment="1">
      <alignment horizontal="center"/>
    </xf>
    <xf numFmtId="166" fontId="0" fillId="0" borderId="0" xfId="1" applyNumberFormat="1" applyFont="1" applyFill="1" applyBorder="1" applyAlignment="1">
      <alignment horizontal="center"/>
    </xf>
    <xf numFmtId="3" fontId="8" fillId="0" borderId="12" xfId="5" applyNumberFormat="1" applyFont="1" applyBorder="1"/>
    <xf numFmtId="44" fontId="33" fillId="0" borderId="4" xfId="3" applyNumberFormat="1" applyFont="1" applyFill="1" applyBorder="1" applyProtection="1">
      <protection locked="0"/>
    </xf>
    <xf numFmtId="44" fontId="33" fillId="0" borderId="4" xfId="2" applyFont="1" applyFill="1" applyBorder="1" applyProtection="1">
      <protection locked="0"/>
    </xf>
    <xf numFmtId="44" fontId="33" fillId="0" borderId="4" xfId="1" applyNumberFormat="1" applyFont="1" applyBorder="1" applyProtection="1">
      <protection locked="0"/>
    </xf>
    <xf numFmtId="44" fontId="33" fillId="0" borderId="4" xfId="1" quotePrefix="1" applyNumberFormat="1" applyFont="1" applyBorder="1" applyAlignment="1" applyProtection="1">
      <alignment horizontal="right"/>
      <protection locked="0"/>
    </xf>
    <xf numFmtId="165" fontId="33" fillId="0" borderId="4" xfId="3" applyNumberFormat="1" applyFont="1" applyFill="1" applyBorder="1" applyProtection="1">
      <protection locked="0"/>
    </xf>
    <xf numFmtId="165" fontId="33" fillId="0" borderId="4" xfId="2" applyNumberFormat="1" applyFont="1" applyFill="1" applyBorder="1" applyProtection="1">
      <protection locked="0"/>
    </xf>
    <xf numFmtId="165" fontId="33" fillId="0" borderId="4" xfId="2" applyNumberFormat="1" applyFont="1" applyBorder="1" applyAlignment="1">
      <alignment horizontal="center"/>
    </xf>
    <xf numFmtId="165" fontId="32" fillId="5" borderId="0" xfId="2" applyNumberFormat="1" applyFont="1" applyFill="1" applyBorder="1"/>
    <xf numFmtId="44" fontId="0" fillId="3" borderId="4" xfId="2" applyFont="1" applyFill="1" applyBorder="1" applyProtection="1">
      <protection locked="0"/>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6" fontId="25" fillId="0" borderId="4" xfId="5" applyNumberFormat="1" applyFont="1" applyBorder="1" applyAlignment="1">
      <alignment horizontal="left"/>
    </xf>
    <xf numFmtId="0" fontId="25" fillId="0" borderId="4" xfId="5" applyFont="1"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00000000-0005-0000-0000-000001000000}"/>
    <cellStyle name="Currency" xfId="2" builtinId="4"/>
    <cellStyle name="Hyperlink" xfId="4" builtinId="8"/>
    <cellStyle name="Hyperlink 2" xfId="6" xr:uid="{00000000-0005-0000-0000-000004000000}"/>
    <cellStyle name="Normal" xfId="0" builtinId="0"/>
    <cellStyle name="Normal 2" xfId="5" xr:uid="{00000000-0005-0000-0000-000006000000}"/>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15"/>
  <sheetViews>
    <sheetView topLeftCell="A4" workbookViewId="0">
      <selection activeCell="C13" sqref="C13"/>
    </sheetView>
  </sheetViews>
  <sheetFormatPr defaultRowHeight="15" x14ac:dyDescent="0.25"/>
  <cols>
    <col min="1" max="1" width="16.28515625" customWidth="1"/>
    <col min="2" max="2" width="66.7109375" style="27" customWidth="1"/>
    <col min="3" max="3" width="17.42578125" customWidth="1"/>
  </cols>
  <sheetData>
    <row r="1" spans="1:3" ht="18.75" x14ac:dyDescent="0.3">
      <c r="A1" s="345" t="s">
        <v>0</v>
      </c>
      <c r="B1" s="345"/>
    </row>
    <row r="2" spans="1:3" x14ac:dyDescent="0.25">
      <c r="A2" s="346" t="s">
        <v>1</v>
      </c>
      <c r="B2" s="346"/>
    </row>
    <row r="3" spans="1:3" ht="166.9" customHeight="1" x14ac:dyDescent="0.25">
      <c r="A3" s="344" t="s">
        <v>216</v>
      </c>
      <c r="B3" s="344"/>
    </row>
    <row r="4" spans="1:3" x14ac:dyDescent="0.25">
      <c r="B4" s="47"/>
    </row>
    <row r="5" spans="1:3" ht="15.75" x14ac:dyDescent="0.25">
      <c r="A5" s="112" t="s">
        <v>2</v>
      </c>
      <c r="B5" s="26" t="s">
        <v>3</v>
      </c>
      <c r="C5" s="46"/>
    </row>
    <row r="6" spans="1:3" ht="15.75" x14ac:dyDescent="0.25">
      <c r="A6" s="112" t="s">
        <v>2</v>
      </c>
      <c r="B6" s="46" t="s">
        <v>4</v>
      </c>
      <c r="C6" s="46"/>
    </row>
    <row r="7" spans="1:3" ht="15.75" x14ac:dyDescent="0.25">
      <c r="A7" s="111" t="s">
        <v>5</v>
      </c>
      <c r="B7" s="46" t="s">
        <v>6</v>
      </c>
      <c r="C7" s="46"/>
    </row>
    <row r="8" spans="1:3" ht="15.75" x14ac:dyDescent="0.25">
      <c r="A8" s="112" t="s">
        <v>2</v>
      </c>
      <c r="B8" s="26" t="s">
        <v>7</v>
      </c>
      <c r="C8" s="46"/>
    </row>
    <row r="9" spans="1:3" ht="15.75" x14ac:dyDescent="0.25">
      <c r="A9" s="112" t="s">
        <v>2</v>
      </c>
      <c r="B9" s="26" t="s">
        <v>8</v>
      </c>
      <c r="C9" s="46"/>
    </row>
    <row r="10" spans="1:3" ht="15.75" x14ac:dyDescent="0.25">
      <c r="A10" s="112" t="s">
        <v>2</v>
      </c>
      <c r="B10" s="26" t="s">
        <v>9</v>
      </c>
      <c r="C10" s="46"/>
    </row>
    <row r="11" spans="1:3" ht="15.75" x14ac:dyDescent="0.25">
      <c r="A11" s="112" t="s">
        <v>2</v>
      </c>
      <c r="B11" s="26" t="s">
        <v>10</v>
      </c>
      <c r="C11" s="46"/>
    </row>
    <row r="12" spans="1:3" ht="15.75" x14ac:dyDescent="0.25">
      <c r="A12" s="112" t="s">
        <v>2</v>
      </c>
      <c r="B12" s="46" t="s">
        <v>11</v>
      </c>
      <c r="C12" s="46"/>
    </row>
    <row r="13" spans="1:3" x14ac:dyDescent="0.25">
      <c r="C13" s="28"/>
    </row>
    <row r="14" spans="1:3" x14ac:dyDescent="0.25">
      <c r="C14" s="28"/>
    </row>
    <row r="15" spans="1:3" x14ac:dyDescent="0.25">
      <c r="C15"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198</v>
      </c>
    </row>
    <row r="3" spans="2:5" x14ac:dyDescent="0.25">
      <c r="B3" t="s">
        <v>199</v>
      </c>
      <c r="C3" t="s">
        <v>200</v>
      </c>
      <c r="D3" t="s">
        <v>167</v>
      </c>
      <c r="E3" t="s">
        <v>166</v>
      </c>
    </row>
    <row r="4" spans="2:5" x14ac:dyDescent="0.25">
      <c r="B4" s="16" t="s">
        <v>201</v>
      </c>
      <c r="C4" s="25">
        <v>180</v>
      </c>
      <c r="D4" s="25">
        <v>100</v>
      </c>
      <c r="E4" s="16" t="s">
        <v>202</v>
      </c>
    </row>
    <row r="5" spans="2:5" x14ac:dyDescent="0.25">
      <c r="B5" s="16" t="s">
        <v>203</v>
      </c>
      <c r="C5" s="25">
        <v>163</v>
      </c>
      <c r="D5" s="25">
        <v>100</v>
      </c>
      <c r="E5" s="25">
        <v>85</v>
      </c>
    </row>
    <row r="6" spans="2:5" x14ac:dyDescent="0.25">
      <c r="B6" s="16" t="s">
        <v>204</v>
      </c>
      <c r="C6" s="25">
        <v>186</v>
      </c>
      <c r="D6" s="25">
        <v>100</v>
      </c>
      <c r="E6" s="25">
        <v>58</v>
      </c>
    </row>
    <row r="7" spans="2:5" x14ac:dyDescent="0.25">
      <c r="B7" s="16" t="s">
        <v>205</v>
      </c>
      <c r="C7" s="25">
        <v>92</v>
      </c>
      <c r="D7" s="25">
        <v>100</v>
      </c>
      <c r="E7" s="25">
        <v>52</v>
      </c>
    </row>
    <row r="8" spans="2:5" x14ac:dyDescent="0.25">
      <c r="B8" s="16" t="s">
        <v>206</v>
      </c>
      <c r="C8" s="25">
        <v>166</v>
      </c>
      <c r="D8" s="25">
        <v>100</v>
      </c>
      <c r="E8" s="25">
        <v>76</v>
      </c>
    </row>
    <row r="9" spans="2:5" x14ac:dyDescent="0.25">
      <c r="B9" s="16" t="s">
        <v>207</v>
      </c>
      <c r="C9" s="25">
        <v>130</v>
      </c>
      <c r="D9" s="25">
        <v>100</v>
      </c>
      <c r="E9" s="25">
        <v>75</v>
      </c>
    </row>
    <row r="10" spans="2:5" x14ac:dyDescent="0.25">
      <c r="B10" s="16" t="s">
        <v>208</v>
      </c>
      <c r="C10" s="25">
        <v>160</v>
      </c>
      <c r="D10" s="25">
        <v>100</v>
      </c>
      <c r="E10" s="25">
        <v>79</v>
      </c>
    </row>
    <row r="11" spans="2:5" x14ac:dyDescent="0.25">
      <c r="B11" s="16" t="s">
        <v>209</v>
      </c>
      <c r="C11" s="25">
        <v>120</v>
      </c>
      <c r="D11" s="25">
        <v>100</v>
      </c>
      <c r="E11" s="25">
        <v>81</v>
      </c>
    </row>
    <row r="12" spans="2:5" x14ac:dyDescent="0.25">
      <c r="B12" s="16" t="s">
        <v>210</v>
      </c>
      <c r="C12" s="25">
        <v>160</v>
      </c>
      <c r="D12" s="25">
        <v>100</v>
      </c>
      <c r="E12" s="25">
        <v>72</v>
      </c>
    </row>
    <row r="13" spans="2:5" x14ac:dyDescent="0.25">
      <c r="B13" s="16" t="s">
        <v>211</v>
      </c>
      <c r="C13" s="25">
        <v>150</v>
      </c>
      <c r="D13" s="25">
        <v>100</v>
      </c>
      <c r="E13" s="16">
        <v>55</v>
      </c>
    </row>
    <row r="14" spans="2:5" x14ac:dyDescent="0.25">
      <c r="B14" s="16" t="s">
        <v>212</v>
      </c>
      <c r="C14" s="25">
        <v>264</v>
      </c>
      <c r="D14" s="25">
        <v>100</v>
      </c>
      <c r="E14" s="25">
        <v>44</v>
      </c>
    </row>
    <row r="15" spans="2:5" x14ac:dyDescent="0.25">
      <c r="B15" s="16" t="s">
        <v>213</v>
      </c>
      <c r="C15" s="25">
        <v>178</v>
      </c>
      <c r="D15" s="25">
        <v>100</v>
      </c>
      <c r="E15" s="25">
        <v>108</v>
      </c>
    </row>
    <row r="16" spans="2:5" x14ac:dyDescent="0.25">
      <c r="B16" s="16" t="s">
        <v>214</v>
      </c>
      <c r="C16" s="25">
        <v>185</v>
      </c>
      <c r="D16" s="25">
        <v>100</v>
      </c>
      <c r="E16" s="25">
        <v>89</v>
      </c>
    </row>
    <row r="17" spans="2:5" x14ac:dyDescent="0.25">
      <c r="B17" s="16" t="s">
        <v>215</v>
      </c>
      <c r="C17" s="25">
        <v>228</v>
      </c>
      <c r="D17" s="25">
        <v>100</v>
      </c>
      <c r="E17" s="25">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2:W116"/>
  <sheetViews>
    <sheetView showGridLines="0" tabSelected="1" topLeftCell="B79" zoomScaleNormal="100" zoomScaleSheetLayoutView="80" workbookViewId="0">
      <selection activeCell="J79" sqref="J79"/>
    </sheetView>
  </sheetViews>
  <sheetFormatPr defaultRowHeight="15" x14ac:dyDescent="0.25"/>
  <cols>
    <col min="1" max="1" width="14.42578125" hidden="1"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48" t="s">
        <v>12</v>
      </c>
      <c r="C2" s="348"/>
      <c r="D2" s="348"/>
      <c r="E2" s="348"/>
      <c r="F2" s="348"/>
      <c r="G2" s="348"/>
      <c r="H2" s="348"/>
      <c r="I2" s="348"/>
      <c r="J2" s="348"/>
      <c r="K2" s="348"/>
      <c r="L2" s="348"/>
      <c r="M2" s="348"/>
      <c r="N2" s="348"/>
      <c r="O2" s="348"/>
    </row>
    <row r="3" spans="1:15" ht="21" x14ac:dyDescent="0.35">
      <c r="B3" s="349" t="s">
        <v>13</v>
      </c>
      <c r="C3" s="350"/>
      <c r="D3" s="350"/>
      <c r="E3" s="350"/>
      <c r="F3" s="350"/>
      <c r="G3" s="350"/>
      <c r="H3" s="350"/>
      <c r="I3" s="350"/>
      <c r="J3" s="350"/>
      <c r="K3" s="350"/>
      <c r="L3" s="350"/>
      <c r="M3" s="350"/>
      <c r="N3" s="350"/>
      <c r="O3" s="351"/>
    </row>
    <row r="4" spans="1:15" ht="21" x14ac:dyDescent="0.35">
      <c r="B4" s="355" t="s">
        <v>14</v>
      </c>
      <c r="C4" s="356"/>
      <c r="D4" s="356"/>
      <c r="E4" s="356"/>
      <c r="F4" s="356"/>
      <c r="G4" s="356"/>
      <c r="H4" s="356"/>
      <c r="I4" s="356"/>
      <c r="J4" s="356"/>
      <c r="K4" s="356"/>
      <c r="L4" s="356"/>
      <c r="M4" s="356"/>
      <c r="N4" s="356"/>
      <c r="O4" s="357"/>
    </row>
    <row r="6" spans="1:15" ht="18.75" x14ac:dyDescent="0.3">
      <c r="B6" s="352" t="s">
        <v>15</v>
      </c>
      <c r="C6" s="353"/>
      <c r="D6" s="353"/>
      <c r="E6" s="353"/>
      <c r="F6" s="353"/>
      <c r="G6" s="353"/>
      <c r="H6" s="353"/>
      <c r="I6" s="353"/>
      <c r="J6" s="353"/>
      <c r="K6" s="353"/>
      <c r="L6" s="353"/>
      <c r="M6" s="353"/>
      <c r="N6" s="353"/>
      <c r="O6" s="354"/>
    </row>
    <row r="7" spans="1:15" s="59" customFormat="1" ht="18.75" x14ac:dyDescent="0.3">
      <c r="B7" s="58"/>
      <c r="C7" s="58"/>
      <c r="D7" s="58"/>
      <c r="E7" s="58"/>
      <c r="F7" s="58"/>
      <c r="G7" s="58"/>
      <c r="H7" s="58"/>
      <c r="I7" s="58"/>
      <c r="J7" s="58"/>
      <c r="K7" s="58"/>
      <c r="L7" s="58"/>
      <c r="M7" s="58"/>
      <c r="N7" s="58"/>
      <c r="O7" s="58"/>
    </row>
    <row r="8" spans="1:15" ht="18.75" x14ac:dyDescent="0.3">
      <c r="B8" s="96" t="s">
        <v>16</v>
      </c>
      <c r="C8" s="4"/>
    </row>
    <row r="9" spans="1:15" ht="22.15" customHeight="1" x14ac:dyDescent="0.3">
      <c r="B9" s="4"/>
      <c r="C9" s="4"/>
      <c r="E9" s="87"/>
      <c r="F9" s="87"/>
      <c r="G9" s="87"/>
      <c r="H9" s="87"/>
      <c r="I9" s="87"/>
      <c r="K9" s="28"/>
    </row>
    <row r="10" spans="1:15" s="103" customFormat="1" ht="30" x14ac:dyDescent="0.25">
      <c r="B10" s="101" t="s">
        <v>17</v>
      </c>
      <c r="C10" s="101" t="s">
        <v>18</v>
      </c>
      <c r="D10" s="101" t="s">
        <v>19</v>
      </c>
      <c r="E10" s="101" t="s">
        <v>20</v>
      </c>
      <c r="F10" s="101" t="s">
        <v>21</v>
      </c>
      <c r="G10" s="101" t="s">
        <v>220</v>
      </c>
      <c r="H10" s="101" t="s">
        <v>241</v>
      </c>
      <c r="I10" s="102"/>
      <c r="J10" s="104"/>
    </row>
    <row r="11" spans="1:15" x14ac:dyDescent="0.25">
      <c r="B11" s="5" t="s">
        <v>22</v>
      </c>
      <c r="C11" s="92">
        <f>SUM(D11:H11)</f>
        <v>90525300</v>
      </c>
      <c r="D11" s="94">
        <v>35468000</v>
      </c>
      <c r="E11" s="95">
        <f>7741100-919700+8399000-600000</f>
        <v>14620400</v>
      </c>
      <c r="F11" s="95">
        <f>46304600-3773400-3014400-G11+400</f>
        <v>37400900</v>
      </c>
      <c r="G11" s="95">
        <v>2116300</v>
      </c>
      <c r="H11" s="95">
        <v>919700</v>
      </c>
      <c r="I11" s="331"/>
      <c r="J11" s="28"/>
    </row>
    <row r="12" spans="1:15" ht="14.45" customHeight="1" x14ac:dyDescent="0.25">
      <c r="A12" s="358"/>
      <c r="B12" s="8" t="s">
        <v>56</v>
      </c>
      <c r="C12" s="92">
        <f>SUM(D12:H12)</f>
        <v>1203800</v>
      </c>
      <c r="D12" s="335">
        <v>0</v>
      </c>
      <c r="E12" s="336">
        <v>0</v>
      </c>
      <c r="F12" s="337">
        <v>1155900</v>
      </c>
      <c r="G12" s="337">
        <v>47900</v>
      </c>
      <c r="H12" s="337">
        <v>0</v>
      </c>
      <c r="L12" s="22"/>
      <c r="M12" s="23"/>
    </row>
    <row r="13" spans="1:15" x14ac:dyDescent="0.25">
      <c r="A13" s="358"/>
      <c r="B13" s="8" t="s">
        <v>57</v>
      </c>
      <c r="C13" s="92">
        <f>SUM(D13:H13)</f>
        <v>6700</v>
      </c>
      <c r="D13" s="335"/>
      <c r="E13" s="336"/>
      <c r="F13" s="337"/>
      <c r="G13" s="337"/>
      <c r="H13" s="337">
        <v>6700</v>
      </c>
      <c r="L13" s="22"/>
      <c r="M13" s="23"/>
    </row>
    <row r="14" spans="1:15" x14ac:dyDescent="0.25">
      <c r="A14" s="358"/>
      <c r="B14" s="8" t="s">
        <v>58</v>
      </c>
      <c r="C14" s="92">
        <f>SUM(D14:H14)</f>
        <v>1571500</v>
      </c>
      <c r="D14" s="335">
        <v>576000</v>
      </c>
      <c r="E14" s="335">
        <v>262940</v>
      </c>
      <c r="F14" s="335">
        <v>700060</v>
      </c>
      <c r="G14" s="335">
        <v>32500</v>
      </c>
      <c r="H14" s="337"/>
      <c r="I14" s="300"/>
      <c r="L14" s="22"/>
      <c r="M14" s="23"/>
    </row>
    <row r="15" spans="1:15" x14ac:dyDescent="0.25">
      <c r="A15" s="358"/>
      <c r="B15" s="8" t="s">
        <v>59</v>
      </c>
      <c r="C15" s="92">
        <f t="shared" ref="C15:C20" si="0">SUM(D15:H15)</f>
        <v>740700</v>
      </c>
      <c r="D15" s="335"/>
      <c r="E15" s="336">
        <v>740700</v>
      </c>
      <c r="F15" s="337"/>
      <c r="G15" s="337"/>
      <c r="H15" s="337"/>
      <c r="L15" s="22"/>
      <c r="M15" s="23"/>
    </row>
    <row r="16" spans="1:15" x14ac:dyDescent="0.25">
      <c r="A16" s="358"/>
      <c r="B16" s="10" t="s">
        <v>25</v>
      </c>
      <c r="C16" s="92">
        <f t="shared" si="0"/>
        <v>0</v>
      </c>
      <c r="D16" s="335"/>
      <c r="E16" s="336"/>
      <c r="F16" s="338"/>
      <c r="G16" s="338"/>
      <c r="H16" s="338"/>
      <c r="L16" s="22"/>
      <c r="M16" s="23"/>
    </row>
    <row r="17" spans="1:23" x14ac:dyDescent="0.25">
      <c r="A17" s="358"/>
      <c r="B17" s="10" t="s">
        <v>26</v>
      </c>
      <c r="C17" s="92">
        <f t="shared" si="0"/>
        <v>0</v>
      </c>
      <c r="D17" s="335"/>
      <c r="E17" s="336"/>
      <c r="F17" s="337"/>
      <c r="G17" s="337"/>
      <c r="H17" s="337"/>
      <c r="L17" s="22"/>
      <c r="M17" s="23"/>
    </row>
    <row r="18" spans="1:23" x14ac:dyDescent="0.25">
      <c r="A18" s="358"/>
      <c r="B18" s="10" t="s">
        <v>27</v>
      </c>
      <c r="C18" s="92">
        <f t="shared" si="0"/>
        <v>-48012</v>
      </c>
      <c r="D18" s="335">
        <v>-1800112</v>
      </c>
      <c r="E18" s="336">
        <v>-59800</v>
      </c>
      <c r="F18" s="337">
        <v>2042800</v>
      </c>
      <c r="G18" s="337">
        <v>-230900</v>
      </c>
      <c r="H18" s="337"/>
      <c r="L18" s="22"/>
      <c r="M18" s="23"/>
    </row>
    <row r="19" spans="1:23" x14ac:dyDescent="0.25">
      <c r="A19" s="358"/>
      <c r="B19" s="10" t="s">
        <v>60</v>
      </c>
      <c r="C19" s="92">
        <f t="shared" si="0"/>
        <v>1065200</v>
      </c>
      <c r="D19" s="335"/>
      <c r="E19" s="336"/>
      <c r="F19" s="337">
        <v>1065200</v>
      </c>
      <c r="G19" s="337"/>
      <c r="H19" s="337"/>
      <c r="I19" s="301"/>
      <c r="L19" s="22"/>
      <c r="M19" s="23"/>
    </row>
    <row r="20" spans="1:23" x14ac:dyDescent="0.25">
      <c r="B20" s="91" t="s">
        <v>249</v>
      </c>
      <c r="C20" s="92">
        <f t="shared" si="0"/>
        <v>778600</v>
      </c>
      <c r="D20" s="335">
        <v>283500</v>
      </c>
      <c r="E20" s="335">
        <v>132300</v>
      </c>
      <c r="F20" s="335">
        <v>346700</v>
      </c>
      <c r="G20" s="335">
        <v>16100</v>
      </c>
      <c r="H20" s="338"/>
      <c r="I20" s="327"/>
      <c r="O20" s="22"/>
      <c r="P20" s="23"/>
    </row>
    <row r="21" spans="1:23" x14ac:dyDescent="0.25">
      <c r="B21" s="91" t="s">
        <v>250</v>
      </c>
      <c r="C21" s="92">
        <f>SUM(D21:H21)</f>
        <v>699900</v>
      </c>
      <c r="D21" s="335">
        <v>254800</v>
      </c>
      <c r="E21" s="335">
        <v>118900</v>
      </c>
      <c r="F21" s="335">
        <v>311700</v>
      </c>
      <c r="G21" s="335">
        <v>14500</v>
      </c>
      <c r="H21" s="338"/>
      <c r="I21" s="327"/>
      <c r="O21" s="22"/>
      <c r="P21" s="23"/>
    </row>
    <row r="22" spans="1:23" x14ac:dyDescent="0.25">
      <c r="B22" s="91" t="s">
        <v>265</v>
      </c>
      <c r="C22" s="92">
        <f>SUM(D22:H22)</f>
        <v>425100</v>
      </c>
      <c r="D22" s="335">
        <v>154900</v>
      </c>
      <c r="E22" s="335">
        <v>72200</v>
      </c>
      <c r="F22" s="335">
        <v>189200</v>
      </c>
      <c r="G22" s="335">
        <v>8800</v>
      </c>
      <c r="H22" s="338"/>
      <c r="I22" s="327"/>
      <c r="O22" s="22"/>
      <c r="P22" s="23"/>
    </row>
    <row r="23" spans="1:23" x14ac:dyDescent="0.25">
      <c r="B23" s="91" t="s">
        <v>261</v>
      </c>
      <c r="C23" s="92">
        <f>SUM(D23:H23)</f>
        <v>400000</v>
      </c>
      <c r="D23" s="335">
        <v>400000</v>
      </c>
      <c r="E23" s="336"/>
      <c r="F23" s="338"/>
      <c r="G23" s="338"/>
      <c r="H23" s="338"/>
      <c r="O23" s="22"/>
      <c r="P23" s="23"/>
    </row>
    <row r="24" spans="1:23" x14ac:dyDescent="0.25">
      <c r="B24" s="11" t="s">
        <v>29</v>
      </c>
      <c r="C24" s="6">
        <f t="shared" ref="C24:H24" si="1">SUM(C11:C23)</f>
        <v>97368788</v>
      </c>
      <c r="D24" s="55">
        <f t="shared" si="1"/>
        <v>35337088</v>
      </c>
      <c r="E24" s="55">
        <f t="shared" si="1"/>
        <v>15887640</v>
      </c>
      <c r="F24" s="55">
        <f t="shared" si="1"/>
        <v>43212460</v>
      </c>
      <c r="G24" s="55">
        <f t="shared" si="1"/>
        <v>2005200</v>
      </c>
      <c r="H24" s="55">
        <f t="shared" si="1"/>
        <v>926400</v>
      </c>
      <c r="I24" s="14"/>
      <c r="J24" s="14"/>
      <c r="O24" s="22"/>
      <c r="P24" s="23"/>
    </row>
    <row r="25" spans="1:23" x14ac:dyDescent="0.25">
      <c r="C25" s="14"/>
      <c r="D25" s="332"/>
      <c r="E25" s="293"/>
      <c r="F25" s="293"/>
      <c r="G25" s="293"/>
      <c r="H25" s="293"/>
      <c r="I25" s="24"/>
      <c r="J25" s="14"/>
      <c r="O25" s="22"/>
      <c r="P25" s="23"/>
    </row>
    <row r="26" spans="1:23" x14ac:dyDescent="0.25">
      <c r="B26" s="29" t="s">
        <v>30</v>
      </c>
      <c r="C26" s="67">
        <f>+C24-C11</f>
        <v>6843488</v>
      </c>
      <c r="D26" s="19">
        <f t="shared" ref="D26:H26" si="2">+D24-D11</f>
        <v>-130912</v>
      </c>
      <c r="E26" s="19">
        <f t="shared" si="2"/>
        <v>1267240</v>
      </c>
      <c r="F26" s="19">
        <f t="shared" si="2"/>
        <v>5811560</v>
      </c>
      <c r="G26" s="19">
        <f t="shared" si="2"/>
        <v>-111100</v>
      </c>
      <c r="H26" s="19">
        <f t="shared" si="2"/>
        <v>6700</v>
      </c>
      <c r="I26" s="14"/>
      <c r="O26" s="22"/>
      <c r="P26" s="23"/>
    </row>
    <row r="27" spans="1:23" x14ac:dyDescent="0.25">
      <c r="B27" s="56" t="s">
        <v>31</v>
      </c>
      <c r="C27" s="57">
        <f>(C26)/C11</f>
        <v>7.5597518041917569E-2</v>
      </c>
      <c r="D27" s="57">
        <f t="shared" ref="D27:H27" si="3">(D26)/D11</f>
        <v>-3.690989060561633E-3</v>
      </c>
      <c r="E27" s="57">
        <f t="shared" si="3"/>
        <v>8.6676151131295995E-2</v>
      </c>
      <c r="F27" s="57">
        <f t="shared" si="3"/>
        <v>0.15538556558799388</v>
      </c>
      <c r="G27" s="57">
        <f t="shared" si="3"/>
        <v>-5.2497282993904458E-2</v>
      </c>
      <c r="H27" s="57">
        <f t="shared" si="3"/>
        <v>7.284984233989344E-3</v>
      </c>
      <c r="O27" s="22"/>
      <c r="P27" s="23"/>
    </row>
    <row r="28" spans="1:23" x14ac:dyDescent="0.25">
      <c r="B28" s="209"/>
      <c r="C28" s="62"/>
      <c r="D28" s="62"/>
      <c r="E28" s="62"/>
      <c r="F28" s="62"/>
      <c r="G28" s="62"/>
      <c r="H28" s="62"/>
      <c r="O28" s="22"/>
      <c r="P28" s="23"/>
    </row>
    <row r="29" spans="1:23" x14ac:dyDescent="0.25">
      <c r="B29" s="29" t="s">
        <v>32</v>
      </c>
      <c r="C29" s="67">
        <f>+'5. Vaccine Clinics and Testing'!D23</f>
        <v>425000</v>
      </c>
      <c r="D29" s="328"/>
      <c r="E29" s="314"/>
      <c r="F29" s="62"/>
      <c r="G29" s="62"/>
      <c r="H29" s="62"/>
      <c r="O29" s="22"/>
      <c r="P29" s="23"/>
    </row>
    <row r="30" spans="1:23" ht="30" x14ac:dyDescent="0.25">
      <c r="B30" s="210" t="s">
        <v>33</v>
      </c>
      <c r="C30" s="211">
        <f>C24-C29</f>
        <v>96943788</v>
      </c>
      <c r="D30" s="15"/>
      <c r="E30" s="15"/>
      <c r="K30" s="23"/>
      <c r="L30" s="23"/>
      <c r="M30" s="14"/>
      <c r="N30" s="24"/>
      <c r="V30" s="22"/>
      <c r="W30" s="23"/>
    </row>
    <row r="31" spans="1:23" x14ac:dyDescent="0.25">
      <c r="B31" s="209"/>
      <c r="C31" s="62"/>
      <c r="D31" s="15"/>
      <c r="E31" s="15"/>
      <c r="K31" s="23"/>
      <c r="L31" s="23"/>
      <c r="M31" s="14"/>
      <c r="N31" s="24"/>
      <c r="V31" s="22"/>
      <c r="W31" s="23"/>
    </row>
    <row r="32" spans="1:23" x14ac:dyDescent="0.25">
      <c r="B32" s="29" t="s">
        <v>34</v>
      </c>
      <c r="C32" s="67">
        <f>C30-C11</f>
        <v>6418488</v>
      </c>
      <c r="D32" s="15"/>
      <c r="E32" s="15"/>
      <c r="O32" s="22"/>
      <c r="P32" s="23"/>
    </row>
    <row r="33" spans="2:23" x14ac:dyDescent="0.25">
      <c r="B33" s="56" t="s">
        <v>35</v>
      </c>
      <c r="C33" s="57">
        <f>(C32)/C11</f>
        <v>7.090269791980805E-2</v>
      </c>
      <c r="D33" s="15"/>
      <c r="E33" s="15"/>
      <c r="O33" s="22"/>
      <c r="P33" s="23"/>
    </row>
    <row r="34" spans="2:23" x14ac:dyDescent="0.25">
      <c r="B34" s="209"/>
      <c r="C34" s="62"/>
      <c r="D34" s="62"/>
      <c r="E34" s="62"/>
      <c r="F34" s="62"/>
      <c r="G34" s="62"/>
      <c r="H34" s="62"/>
      <c r="O34" s="22"/>
      <c r="P34" s="23"/>
    </row>
    <row r="35" spans="2:23" ht="28.15" customHeight="1" x14ac:dyDescent="0.3">
      <c r="B35" s="96" t="s">
        <v>36</v>
      </c>
      <c r="C35" s="4"/>
      <c r="D35" s="15"/>
      <c r="E35" s="15"/>
      <c r="V35" s="22"/>
      <c r="W35" s="23"/>
    </row>
    <row r="36" spans="2:23" ht="18.75" x14ac:dyDescent="0.3">
      <c r="B36" s="96"/>
      <c r="C36" s="4"/>
      <c r="D36" s="15"/>
      <c r="E36" s="15"/>
      <c r="V36" s="22"/>
      <c r="W36" s="23"/>
    </row>
    <row r="37" spans="2:23" s="90" customFormat="1" x14ac:dyDescent="0.25">
      <c r="B37" s="98" t="s">
        <v>37</v>
      </c>
      <c r="C37" s="98" t="s">
        <v>38</v>
      </c>
      <c r="D37" s="98" t="s">
        <v>39</v>
      </c>
      <c r="E37" s="53"/>
      <c r="V37" s="99"/>
      <c r="W37" s="100"/>
    </row>
    <row r="38" spans="2:23" x14ac:dyDescent="0.25">
      <c r="B38" s="5" t="s">
        <v>40</v>
      </c>
      <c r="C38" s="92">
        <v>93488000</v>
      </c>
      <c r="D38" s="7"/>
      <c r="E38" s="62"/>
      <c r="V38" s="22"/>
      <c r="W38" s="23"/>
    </row>
    <row r="39" spans="2:23" x14ac:dyDescent="0.25">
      <c r="B39" s="8" t="s">
        <v>41</v>
      </c>
      <c r="C39" s="93">
        <v>700000</v>
      </c>
      <c r="D39" s="9">
        <f>+C39/C$38</f>
        <v>7.4875919904158822E-3</v>
      </c>
      <c r="E39" s="54"/>
      <c r="V39" s="22"/>
    </row>
    <row r="40" spans="2:23" x14ac:dyDescent="0.25">
      <c r="B40" s="10" t="s">
        <v>42</v>
      </c>
      <c r="C40" s="273">
        <f>+'4. Inflation'!D16</f>
        <v>2123100</v>
      </c>
      <c r="D40" s="281">
        <f t="shared" ref="D40:D52" si="4">+C40/C$38</f>
        <v>2.2709866506931371E-2</v>
      </c>
      <c r="E40" s="274" t="s">
        <v>242</v>
      </c>
      <c r="V40" s="22"/>
    </row>
    <row r="41" spans="2:23" x14ac:dyDescent="0.25">
      <c r="B41" s="10" t="s">
        <v>43</v>
      </c>
      <c r="C41" s="93"/>
      <c r="D41" s="281">
        <f t="shared" si="4"/>
        <v>0</v>
      </c>
      <c r="E41" s="54"/>
      <c r="V41" s="22"/>
    </row>
    <row r="42" spans="2:23" x14ac:dyDescent="0.25">
      <c r="B42" s="10" t="s">
        <v>44</v>
      </c>
      <c r="C42" s="93">
        <v>454800</v>
      </c>
      <c r="D42" s="281">
        <f t="shared" si="4"/>
        <v>4.8647954817730614E-3</v>
      </c>
      <c r="E42" s="54"/>
      <c r="V42" s="22"/>
    </row>
    <row r="43" spans="2:23" x14ac:dyDescent="0.25">
      <c r="B43" s="10" t="s">
        <v>45</v>
      </c>
      <c r="C43" s="93">
        <v>-553800</v>
      </c>
      <c r="D43" s="281">
        <f t="shared" si="4"/>
        <v>-5.9237549204175935E-3</v>
      </c>
      <c r="E43" s="54"/>
      <c r="V43" s="22"/>
    </row>
    <row r="44" spans="2:23" x14ac:dyDescent="0.25">
      <c r="B44" s="10" t="s">
        <v>46</v>
      </c>
      <c r="C44" s="93">
        <v>-19000</v>
      </c>
      <c r="D44" s="281">
        <f t="shared" si="4"/>
        <v>-2.0323463973985966E-4</v>
      </c>
      <c r="E44" s="54"/>
      <c r="V44" s="22"/>
    </row>
    <row r="45" spans="2:23" x14ac:dyDescent="0.25">
      <c r="B45" s="10" t="s">
        <v>47</v>
      </c>
      <c r="C45" s="93">
        <v>400000</v>
      </c>
      <c r="D45" s="281">
        <f t="shared" si="4"/>
        <v>4.2786239945233609E-3</v>
      </c>
      <c r="E45" s="297"/>
    </row>
    <row r="46" spans="2:23" x14ac:dyDescent="0.25">
      <c r="B46" s="10" t="s">
        <v>48</v>
      </c>
      <c r="C46" s="93">
        <v>825000</v>
      </c>
      <c r="D46" s="281">
        <f t="shared" si="4"/>
        <v>8.8246619887044318E-3</v>
      </c>
      <c r="E46" s="297"/>
    </row>
    <row r="47" spans="2:23" x14ac:dyDescent="0.25">
      <c r="B47" s="10" t="s">
        <v>49</v>
      </c>
      <c r="C47" s="93">
        <v>-250000</v>
      </c>
      <c r="D47" s="281">
        <f>+C47/C$38</f>
        <v>-2.6741399965771006E-3</v>
      </c>
      <c r="E47" s="298"/>
    </row>
    <row r="48" spans="2:23" x14ac:dyDescent="0.25">
      <c r="B48" s="91" t="s">
        <v>249</v>
      </c>
      <c r="C48" s="93">
        <v>586000</v>
      </c>
      <c r="D48" s="281">
        <f t="shared" ref="D48:D49" si="5">+C48/C$38</f>
        <v>6.2681841519767242E-3</v>
      </c>
      <c r="E48" s="297"/>
    </row>
    <row r="49" spans="2:23" x14ac:dyDescent="0.25">
      <c r="B49" s="91" t="s">
        <v>250</v>
      </c>
      <c r="C49" s="93">
        <v>986000</v>
      </c>
      <c r="D49" s="281">
        <f t="shared" si="5"/>
        <v>1.0546808146500086E-2</v>
      </c>
      <c r="E49" s="297"/>
    </row>
    <row r="50" spans="2:23" x14ac:dyDescent="0.25">
      <c r="B50" s="91" t="s">
        <v>251</v>
      </c>
      <c r="C50" s="93">
        <v>398500</v>
      </c>
      <c r="D50" s="281">
        <f t="shared" si="4"/>
        <v>4.2625791545438984E-3</v>
      </c>
      <c r="E50" s="54"/>
    </row>
    <row r="51" spans="2:23" x14ac:dyDescent="0.25">
      <c r="B51" s="91" t="s">
        <v>265</v>
      </c>
      <c r="C51" s="93">
        <v>369700</v>
      </c>
      <c r="D51" s="281">
        <f t="shared" si="4"/>
        <v>3.9545182269382171E-3</v>
      </c>
      <c r="E51" s="54"/>
    </row>
    <row r="52" spans="2:23" x14ac:dyDescent="0.25">
      <c r="B52" s="91" t="s">
        <v>259</v>
      </c>
      <c r="C52" s="93">
        <v>260500</v>
      </c>
      <c r="D52" s="281">
        <f t="shared" si="4"/>
        <v>2.786453876433339E-3</v>
      </c>
      <c r="E52" s="54"/>
    </row>
    <row r="53" spans="2:23" x14ac:dyDescent="0.25">
      <c r="B53" s="11" t="s">
        <v>51</v>
      </c>
      <c r="C53" s="12">
        <f>SUM(C38:C52)</f>
        <v>99768800</v>
      </c>
      <c r="D53" s="13">
        <f>SUM(D39:D52)</f>
        <v>6.7182953962005826E-2</v>
      </c>
      <c r="E53" s="333">
        <v>99768800</v>
      </c>
      <c r="F53" s="24">
        <f>+C53-E53</f>
        <v>0</v>
      </c>
      <c r="H53" s="14"/>
    </row>
    <row r="54" spans="2:23" x14ac:dyDescent="0.25">
      <c r="B54" s="88"/>
      <c r="C54" s="89"/>
      <c r="D54" s="80"/>
      <c r="E54" s="80"/>
    </row>
    <row r="55" spans="2:23" x14ac:dyDescent="0.25">
      <c r="B55" s="29" t="s">
        <v>30</v>
      </c>
      <c r="C55" s="67">
        <f>+C53-C38</f>
        <v>6280800</v>
      </c>
      <c r="D55" s="80"/>
      <c r="E55" s="80"/>
    </row>
    <row r="56" spans="2:23" x14ac:dyDescent="0.25">
      <c r="B56" s="56" t="s">
        <v>31</v>
      </c>
      <c r="C56" s="57">
        <f>(C55)/C38</f>
        <v>6.7182953962005826E-2</v>
      </c>
      <c r="D56" s="80"/>
      <c r="E56" s="80"/>
    </row>
    <row r="57" spans="2:23" x14ac:dyDescent="0.25">
      <c r="B57" s="209"/>
      <c r="C57" s="62"/>
      <c r="D57" s="62"/>
      <c r="E57" s="62"/>
      <c r="F57" s="62"/>
      <c r="G57" s="62"/>
      <c r="H57" s="62"/>
      <c r="O57" s="22"/>
      <c r="P57" s="23"/>
    </row>
    <row r="58" spans="2:23" x14ac:dyDescent="0.25">
      <c r="B58" s="29" t="s">
        <v>32</v>
      </c>
      <c r="C58" s="67">
        <f>+'5. Vaccine Clinics and Testing'!D36</f>
        <v>369700</v>
      </c>
      <c r="D58" s="62"/>
      <c r="E58" s="62"/>
      <c r="F58" s="62"/>
      <c r="G58" s="62"/>
      <c r="H58" s="62"/>
      <c r="O58" s="22"/>
      <c r="P58" s="23"/>
    </row>
    <row r="59" spans="2:23" ht="30" x14ac:dyDescent="0.25">
      <c r="B59" s="210" t="s">
        <v>33</v>
      </c>
      <c r="C59" s="211">
        <f>C53-C58</f>
        <v>99399100</v>
      </c>
      <c r="D59" s="15"/>
      <c r="E59" s="15"/>
      <c r="K59" s="23"/>
      <c r="L59" s="23"/>
      <c r="M59" s="14"/>
      <c r="N59" s="24"/>
      <c r="V59" s="22"/>
      <c r="W59" s="23"/>
    </row>
    <row r="60" spans="2:23" x14ac:dyDescent="0.25">
      <c r="B60" s="209"/>
      <c r="C60" s="62"/>
      <c r="D60" s="15"/>
      <c r="E60" s="15"/>
      <c r="K60" s="23"/>
      <c r="L60" s="23"/>
      <c r="M60" s="14"/>
      <c r="N60" s="24"/>
      <c r="V60" s="22"/>
      <c r="W60" s="23"/>
    </row>
    <row r="61" spans="2:23" x14ac:dyDescent="0.25">
      <c r="B61" s="29" t="s">
        <v>34</v>
      </c>
      <c r="C61" s="67">
        <f>C59-C38</f>
        <v>5911100</v>
      </c>
      <c r="D61" s="15"/>
      <c r="E61" s="15"/>
      <c r="O61" s="22"/>
      <c r="P61" s="23"/>
    </row>
    <row r="62" spans="2:23" x14ac:dyDescent="0.25">
      <c r="B62" s="56" t="s">
        <v>35</v>
      </c>
      <c r="C62" s="57">
        <f>(C61)/C38</f>
        <v>6.3228435735067604E-2</v>
      </c>
      <c r="D62" s="15"/>
      <c r="E62" s="15"/>
      <c r="O62" s="22"/>
      <c r="P62" s="23"/>
    </row>
    <row r="63" spans="2:23" x14ac:dyDescent="0.25">
      <c r="B63" s="209"/>
      <c r="C63" s="62"/>
      <c r="D63" s="62"/>
      <c r="E63" s="62"/>
      <c r="F63" s="62"/>
      <c r="G63" s="62"/>
      <c r="H63" s="62"/>
      <c r="O63" s="22"/>
      <c r="P63" s="23"/>
    </row>
    <row r="65" spans="1:23" ht="18.75" x14ac:dyDescent="0.3">
      <c r="B65" s="352" t="s">
        <v>52</v>
      </c>
      <c r="C65" s="353"/>
      <c r="D65" s="353"/>
      <c r="E65" s="353"/>
      <c r="F65" s="353"/>
      <c r="G65" s="353"/>
      <c r="H65" s="353"/>
      <c r="I65" s="353"/>
      <c r="J65" s="353"/>
      <c r="K65" s="353"/>
      <c r="L65" s="353"/>
      <c r="M65" s="353"/>
      <c r="N65" s="353"/>
      <c r="O65" s="354"/>
      <c r="V65" s="22"/>
      <c r="W65" s="23"/>
    </row>
    <row r="66" spans="1:23" x14ac:dyDescent="0.25">
      <c r="B66" s="17"/>
    </row>
    <row r="67" spans="1:23" ht="18.75" x14ac:dyDescent="0.3">
      <c r="B67" s="96" t="s">
        <v>53</v>
      </c>
      <c r="C67" s="4"/>
    </row>
    <row r="68" spans="1:23" ht="18.75" x14ac:dyDescent="0.3">
      <c r="B68" s="96"/>
      <c r="C68" s="4"/>
    </row>
    <row r="69" spans="1:23" ht="18.75" x14ac:dyDescent="0.3">
      <c r="B69" s="96" t="s">
        <v>264</v>
      </c>
      <c r="C69" s="235" t="s">
        <v>54</v>
      </c>
    </row>
    <row r="70" spans="1:23" s="90" customFormat="1" ht="30" x14ac:dyDescent="0.25">
      <c r="B70" s="97" t="s">
        <v>17</v>
      </c>
      <c r="C70" s="97" t="s">
        <v>18</v>
      </c>
      <c r="D70" s="97" t="s">
        <v>19</v>
      </c>
      <c r="E70" s="97" t="s">
        <v>20</v>
      </c>
      <c r="F70" s="97" t="s">
        <v>21</v>
      </c>
      <c r="G70" s="97" t="s">
        <v>220</v>
      </c>
      <c r="H70" s="97" t="s">
        <v>241</v>
      </c>
      <c r="J70" s="308"/>
      <c r="K70" s="309"/>
      <c r="L70" s="308"/>
    </row>
    <row r="71" spans="1:23" x14ac:dyDescent="0.25">
      <c r="B71" s="5" t="s">
        <v>55</v>
      </c>
      <c r="C71" s="92">
        <f>SUM(D71:H71)</f>
        <v>93725062</v>
      </c>
      <c r="D71" s="94">
        <v>34695400</v>
      </c>
      <c r="E71" s="343">
        <v>14303862</v>
      </c>
      <c r="F71" s="343">
        <v>41721700</v>
      </c>
      <c r="G71" s="343">
        <v>1974800</v>
      </c>
      <c r="H71" s="343">
        <v>1029300</v>
      </c>
      <c r="J71" s="301"/>
      <c r="K71" s="305"/>
      <c r="L71" s="300"/>
    </row>
    <row r="72" spans="1:23" ht="14.45" customHeight="1" x14ac:dyDescent="0.25">
      <c r="A72" s="347"/>
      <c r="B72" s="8" t="s">
        <v>56</v>
      </c>
      <c r="C72" s="92">
        <f>SUM(D72:H72)</f>
        <v>1203800</v>
      </c>
      <c r="D72" s="339"/>
      <c r="E72" s="339"/>
      <c r="F72" s="339">
        <v>1155900</v>
      </c>
      <c r="G72" s="339">
        <v>47900</v>
      </c>
      <c r="H72" s="337"/>
      <c r="J72" s="301"/>
      <c r="K72" s="305"/>
      <c r="L72" s="293"/>
      <c r="M72" s="23"/>
    </row>
    <row r="73" spans="1:23" x14ac:dyDescent="0.25">
      <c r="A73" s="347"/>
      <c r="B73" s="8" t="s">
        <v>57</v>
      </c>
      <c r="C73" s="92">
        <f>SUM(D73:H73)</f>
        <v>-102900</v>
      </c>
      <c r="D73" s="335"/>
      <c r="E73" s="336"/>
      <c r="F73" s="337"/>
      <c r="G73" s="337"/>
      <c r="H73" s="337">
        <v>-102900</v>
      </c>
      <c r="J73" s="301"/>
      <c r="K73" s="305"/>
      <c r="L73" s="293"/>
      <c r="M73" s="23"/>
    </row>
    <row r="74" spans="1:23" x14ac:dyDescent="0.25">
      <c r="A74" s="347"/>
      <c r="B74" s="8" t="s">
        <v>58</v>
      </c>
      <c r="C74" s="92">
        <f>SUM(D74:H74)</f>
        <v>2163424</v>
      </c>
      <c r="D74" s="339">
        <v>901588</v>
      </c>
      <c r="E74" s="339">
        <v>413576</v>
      </c>
      <c r="F74" s="339">
        <v>848260</v>
      </c>
      <c r="G74" s="339"/>
      <c r="H74" s="337"/>
      <c r="J74" s="301"/>
      <c r="K74" s="305"/>
      <c r="L74" s="293"/>
      <c r="M74" s="23"/>
    </row>
    <row r="75" spans="1:23" x14ac:dyDescent="0.25">
      <c r="A75" s="347"/>
      <c r="B75" s="8" t="s">
        <v>59</v>
      </c>
      <c r="C75" s="92">
        <f t="shared" ref="C75:C82" si="6">SUM(D75:H75)</f>
        <v>431202</v>
      </c>
      <c r="D75" s="335"/>
      <c r="E75" s="340">
        <v>431202</v>
      </c>
      <c r="F75" s="337"/>
      <c r="G75" s="337"/>
      <c r="H75" s="337"/>
      <c r="J75" s="301"/>
      <c r="K75" s="305"/>
      <c r="L75" s="310"/>
      <c r="M75" s="23"/>
    </row>
    <row r="76" spans="1:23" x14ac:dyDescent="0.25">
      <c r="B76" s="10" t="s">
        <v>25</v>
      </c>
      <c r="C76" s="92">
        <f t="shared" si="6"/>
        <v>0</v>
      </c>
      <c r="D76" s="335"/>
      <c r="E76" s="336"/>
      <c r="F76" s="338"/>
      <c r="G76" s="338"/>
      <c r="H76" s="338"/>
      <c r="J76" s="301"/>
      <c r="K76" s="305"/>
      <c r="L76" s="310"/>
      <c r="M76" s="23"/>
    </row>
    <row r="77" spans="1:23" x14ac:dyDescent="0.25">
      <c r="B77" s="10" t="s">
        <v>26</v>
      </c>
      <c r="C77" s="92">
        <f t="shared" si="6"/>
        <v>0</v>
      </c>
      <c r="D77" s="335"/>
      <c r="E77" s="336"/>
      <c r="F77" s="337"/>
      <c r="G77" s="337"/>
      <c r="H77" s="337"/>
      <c r="J77" s="301"/>
      <c r="K77" s="305"/>
      <c r="L77" s="293"/>
      <c r="M77" s="23"/>
    </row>
    <row r="78" spans="1:23" x14ac:dyDescent="0.25">
      <c r="B78" s="10" t="s">
        <v>27</v>
      </c>
      <c r="C78" s="92">
        <f t="shared" si="6"/>
        <v>96800</v>
      </c>
      <c r="D78" s="335"/>
      <c r="E78" s="336"/>
      <c r="F78" s="337">
        <v>96800</v>
      </c>
      <c r="G78" s="337"/>
      <c r="H78" s="337"/>
      <c r="J78" s="301"/>
      <c r="K78" s="305"/>
      <c r="L78" s="293"/>
      <c r="M78" s="23"/>
    </row>
    <row r="79" spans="1:23" x14ac:dyDescent="0.25">
      <c r="B79" s="10" t="s">
        <v>60</v>
      </c>
      <c r="C79" s="92">
        <f t="shared" si="6"/>
        <v>-289900</v>
      </c>
      <c r="D79" s="335"/>
      <c r="E79" s="336"/>
      <c r="F79" s="337">
        <v>-289900</v>
      </c>
      <c r="G79" s="337">
        <v>0</v>
      </c>
      <c r="H79" s="337"/>
      <c r="J79" s="301"/>
      <c r="K79" s="305"/>
      <c r="L79" s="293"/>
      <c r="M79" s="23"/>
    </row>
    <row r="80" spans="1:23" x14ac:dyDescent="0.25">
      <c r="B80" s="91" t="s">
        <v>265</v>
      </c>
      <c r="C80" s="92">
        <f t="shared" si="6"/>
        <v>-850000</v>
      </c>
      <c r="D80" s="339">
        <v>-256700</v>
      </c>
      <c r="E80" s="339"/>
      <c r="F80" s="339">
        <v>-549000</v>
      </c>
      <c r="G80" s="339">
        <v>-44300</v>
      </c>
      <c r="H80" s="338"/>
      <c r="J80" s="301"/>
      <c r="K80" s="305"/>
      <c r="L80" s="293"/>
      <c r="M80" s="23"/>
    </row>
    <row r="81" spans="2:23" x14ac:dyDescent="0.25">
      <c r="B81" s="91" t="s">
        <v>268</v>
      </c>
      <c r="C81" s="92">
        <f t="shared" si="6"/>
        <v>1391300</v>
      </c>
      <c r="D81" s="339">
        <v>396800</v>
      </c>
      <c r="E81" s="339">
        <v>739000</v>
      </c>
      <c r="F81" s="339">
        <v>228700</v>
      </c>
      <c r="G81" s="339">
        <v>26800</v>
      </c>
      <c r="H81" s="338"/>
      <c r="I81" s="331"/>
      <c r="J81" s="301"/>
      <c r="K81" s="305"/>
      <c r="L81" s="293"/>
      <c r="M81" s="23"/>
    </row>
    <row r="82" spans="2:23" x14ac:dyDescent="0.25">
      <c r="B82" s="91" t="s">
        <v>267</v>
      </c>
      <c r="C82" s="92">
        <f t="shared" si="6"/>
        <v>-400000</v>
      </c>
      <c r="D82" s="335">
        <v>-400000</v>
      </c>
      <c r="E82" s="336"/>
      <c r="F82" s="338"/>
      <c r="G82" s="338"/>
      <c r="H82" s="338"/>
      <c r="J82" s="301"/>
      <c r="K82" s="305">
        <f>+K80-K81</f>
        <v>0</v>
      </c>
      <c r="L82" s="293"/>
      <c r="M82" s="23"/>
    </row>
    <row r="83" spans="2:23" x14ac:dyDescent="0.25">
      <c r="B83" s="11" t="s">
        <v>29</v>
      </c>
      <c r="C83" s="6">
        <f t="shared" ref="C83:H83" si="7">SUM(C71:C82)</f>
        <v>97368788</v>
      </c>
      <c r="D83" s="55">
        <f t="shared" si="7"/>
        <v>35337088</v>
      </c>
      <c r="E83" s="55">
        <f t="shared" si="7"/>
        <v>15887640</v>
      </c>
      <c r="F83" s="55">
        <f t="shared" si="7"/>
        <v>43212460</v>
      </c>
      <c r="G83" s="55">
        <f t="shared" si="7"/>
        <v>2005200</v>
      </c>
      <c r="H83" s="55">
        <f t="shared" si="7"/>
        <v>926400</v>
      </c>
      <c r="J83" s="301"/>
      <c r="K83" s="301"/>
      <c r="L83" s="293"/>
      <c r="M83" s="23"/>
    </row>
    <row r="84" spans="2:23" x14ac:dyDescent="0.25">
      <c r="C84" s="14"/>
      <c r="D84" s="15"/>
      <c r="L84" s="22"/>
      <c r="M84" s="23"/>
    </row>
    <row r="85" spans="2:23" x14ac:dyDescent="0.25">
      <c r="B85" s="29" t="s">
        <v>61</v>
      </c>
      <c r="C85" s="67">
        <f>+C83-C71</f>
        <v>3643726</v>
      </c>
      <c r="D85" s="67">
        <f t="shared" ref="D85:E85" si="8">+D83-D71</f>
        <v>641688</v>
      </c>
      <c r="E85" s="67">
        <f t="shared" si="8"/>
        <v>1583778</v>
      </c>
      <c r="F85" s="19">
        <f>+F83-F71</f>
        <v>1490760</v>
      </c>
      <c r="G85" s="19">
        <f>+G83-G71</f>
        <v>30400</v>
      </c>
      <c r="H85" s="19">
        <f>+H83-H71</f>
        <v>-102900</v>
      </c>
      <c r="L85" s="22"/>
      <c r="M85" s="23"/>
    </row>
    <row r="86" spans="2:23" x14ac:dyDescent="0.25">
      <c r="B86" s="56" t="s">
        <v>62</v>
      </c>
      <c r="C86" s="57">
        <f>(C85)/C71</f>
        <v>3.8876752090065303E-2</v>
      </c>
      <c r="D86" s="57">
        <f t="shared" ref="D86:H86" si="9">(D85)/D71</f>
        <v>1.8494901341388197E-2</v>
      </c>
      <c r="E86" s="57">
        <f t="shared" si="9"/>
        <v>0.11072380312393953</v>
      </c>
      <c r="F86" s="57">
        <f t="shared" si="9"/>
        <v>3.5731046433870144E-2</v>
      </c>
      <c r="G86" s="57">
        <f t="shared" si="9"/>
        <v>1.5393963945716021E-2</v>
      </c>
      <c r="H86" s="57">
        <f t="shared" si="9"/>
        <v>-9.9970853978431945E-2</v>
      </c>
      <c r="L86" s="22"/>
      <c r="M86" s="23"/>
    </row>
    <row r="87" spans="2:23" x14ac:dyDescent="0.25">
      <c r="B87" s="209"/>
      <c r="C87" s="62"/>
      <c r="D87" s="15"/>
      <c r="E87" s="15"/>
      <c r="K87" s="23"/>
      <c r="L87" s="23"/>
      <c r="M87" s="14"/>
      <c r="N87" s="24"/>
      <c r="V87" s="22"/>
      <c r="W87" s="23"/>
    </row>
    <row r="88" spans="2:23" x14ac:dyDescent="0.25">
      <c r="B88" s="29" t="s">
        <v>63</v>
      </c>
      <c r="C88" s="67">
        <f>+C83-C71-'5. Vaccine Clinics and Testing'!D23</f>
        <v>3218726</v>
      </c>
      <c r="D88" s="14"/>
      <c r="E88" s="14"/>
      <c r="F88" s="14"/>
      <c r="G88" s="14"/>
      <c r="H88" s="14"/>
      <c r="I88" s="14"/>
      <c r="O88" s="22"/>
      <c r="P88" s="23"/>
    </row>
    <row r="89" spans="2:23" x14ac:dyDescent="0.25">
      <c r="B89" s="56" t="s">
        <v>64</v>
      </c>
      <c r="C89" s="57">
        <f>+C88/C71</f>
        <v>3.4342212545028776E-2</v>
      </c>
      <c r="D89" s="99"/>
      <c r="E89" s="22"/>
      <c r="F89" s="22"/>
      <c r="G89" s="22"/>
      <c r="H89" s="22"/>
      <c r="I89" s="330"/>
      <c r="O89" s="22"/>
      <c r="P89" s="23"/>
    </row>
    <row r="90" spans="2:23" x14ac:dyDescent="0.25">
      <c r="B90" s="209"/>
      <c r="C90" s="62"/>
      <c r="D90" s="314"/>
      <c r="E90" s="314"/>
      <c r="F90" s="314"/>
      <c r="G90" s="314"/>
      <c r="H90" s="314"/>
      <c r="I90" s="24"/>
      <c r="O90" s="22"/>
      <c r="P90" s="23"/>
    </row>
    <row r="91" spans="2:23" ht="19.899999999999999" customHeight="1" x14ac:dyDescent="0.3">
      <c r="B91" s="96" t="s">
        <v>65</v>
      </c>
      <c r="C91" s="4"/>
      <c r="D91" s="15"/>
      <c r="E91" s="15"/>
      <c r="V91" s="22"/>
      <c r="W91" s="23"/>
    </row>
    <row r="92" spans="2:23" ht="18.75" x14ac:dyDescent="0.3">
      <c r="B92" s="96"/>
      <c r="C92" s="4"/>
      <c r="D92" s="15"/>
      <c r="E92" s="15"/>
      <c r="H92" s="301"/>
      <c r="I92" s="305"/>
      <c r="V92" s="22"/>
      <c r="W92" s="23"/>
    </row>
    <row r="93" spans="2:23" x14ac:dyDescent="0.25">
      <c r="B93" s="98" t="s">
        <v>37</v>
      </c>
      <c r="C93" s="98" t="s">
        <v>38</v>
      </c>
      <c r="D93" s="98" t="s">
        <v>39</v>
      </c>
      <c r="E93" s="63"/>
      <c r="H93" s="306"/>
      <c r="I93" s="301"/>
      <c r="V93" s="22"/>
      <c r="W93" s="23"/>
    </row>
    <row r="94" spans="2:23" x14ac:dyDescent="0.25">
      <c r="B94" s="5" t="s">
        <v>55</v>
      </c>
      <c r="C94" s="92">
        <v>98099200</v>
      </c>
      <c r="D94" s="7"/>
      <c r="E94" s="62"/>
      <c r="H94" s="306"/>
      <c r="I94" s="301"/>
      <c r="V94" s="22"/>
      <c r="W94" s="23"/>
    </row>
    <row r="95" spans="2:23" x14ac:dyDescent="0.25">
      <c r="B95" s="8" t="s">
        <v>41</v>
      </c>
      <c r="C95" s="93">
        <v>525000</v>
      </c>
      <c r="D95" s="9">
        <f>+C95/C$38</f>
        <v>5.6156939928119114E-3</v>
      </c>
      <c r="E95" s="278"/>
      <c r="H95" s="301"/>
      <c r="I95" s="301"/>
      <c r="V95" s="22"/>
    </row>
    <row r="96" spans="2:23" x14ac:dyDescent="0.25">
      <c r="B96" s="10" t="s">
        <v>42</v>
      </c>
      <c r="C96" s="93">
        <v>750000</v>
      </c>
      <c r="D96" s="9">
        <f t="shared" ref="D96:D109" si="10">+C96/C$38</f>
        <v>8.0224199897313032E-3</v>
      </c>
      <c r="E96" s="64"/>
      <c r="H96" s="306"/>
      <c r="I96" s="301"/>
      <c r="V96" s="22"/>
    </row>
    <row r="97" spans="2:22" x14ac:dyDescent="0.25">
      <c r="B97" s="10" t="s">
        <v>43</v>
      </c>
      <c r="C97" s="307">
        <v>1180000</v>
      </c>
      <c r="D97" s="9">
        <f t="shared" si="10"/>
        <v>1.2621940783843915E-2</v>
      </c>
      <c r="E97" s="64"/>
      <c r="H97" s="306"/>
      <c r="I97" s="301"/>
      <c r="V97" s="22"/>
    </row>
    <row r="98" spans="2:22" x14ac:dyDescent="0.25">
      <c r="B98" s="10" t="s">
        <v>44</v>
      </c>
      <c r="C98" s="93">
        <v>756000</v>
      </c>
      <c r="D98" s="9">
        <f t="shared" si="10"/>
        <v>8.0865993496491533E-3</v>
      </c>
      <c r="E98" s="64"/>
      <c r="H98" s="306"/>
      <c r="I98" s="301"/>
      <c r="V98" s="22"/>
    </row>
    <row r="99" spans="2:22" x14ac:dyDescent="0.25">
      <c r="B99" s="10" t="s">
        <v>45</v>
      </c>
      <c r="C99" s="93">
        <v>-650000</v>
      </c>
      <c r="D99" s="9">
        <f t="shared" si="10"/>
        <v>-6.9527639911004619E-3</v>
      </c>
      <c r="E99" s="64"/>
      <c r="H99" s="306"/>
      <c r="I99" s="301"/>
      <c r="V99" s="22"/>
    </row>
    <row r="100" spans="2:22" x14ac:dyDescent="0.25">
      <c r="B100" s="10" t="s">
        <v>46</v>
      </c>
      <c r="C100" s="93"/>
      <c r="D100" s="9">
        <f t="shared" si="10"/>
        <v>0</v>
      </c>
      <c r="E100" s="64"/>
      <c r="H100" s="306"/>
      <c r="I100" s="301"/>
      <c r="V100" s="22"/>
    </row>
    <row r="101" spans="2:22" x14ac:dyDescent="0.25">
      <c r="B101" s="10" t="s">
        <v>47</v>
      </c>
      <c r="C101" s="93"/>
      <c r="D101" s="9">
        <f t="shared" si="10"/>
        <v>0</v>
      </c>
      <c r="E101" s="64"/>
      <c r="H101" s="306"/>
      <c r="I101" s="301"/>
    </row>
    <row r="102" spans="2:22" x14ac:dyDescent="0.25">
      <c r="B102" s="10" t="s">
        <v>48</v>
      </c>
      <c r="C102" s="93">
        <v>252200</v>
      </c>
      <c r="D102" s="9">
        <f t="shared" si="10"/>
        <v>2.6976724285469795E-3</v>
      </c>
      <c r="E102" s="64"/>
      <c r="H102" s="306"/>
      <c r="I102" s="301"/>
    </row>
    <row r="103" spans="2:22" x14ac:dyDescent="0.25">
      <c r="B103" s="10" t="s">
        <v>49</v>
      </c>
      <c r="C103" s="93">
        <v>-250000</v>
      </c>
      <c r="D103" s="9">
        <f t="shared" si="10"/>
        <v>-2.6741399965771006E-3</v>
      </c>
      <c r="E103" s="279"/>
      <c r="H103" s="306"/>
      <c r="I103" s="301"/>
    </row>
    <row r="104" spans="2:22" x14ac:dyDescent="0.25">
      <c r="B104" s="91" t="s">
        <v>249</v>
      </c>
      <c r="C104" s="93">
        <v>486400</v>
      </c>
      <c r="D104" s="9">
        <f t="shared" si="10"/>
        <v>5.2028067773404072E-3</v>
      </c>
      <c r="E104" s="64"/>
      <c r="H104" s="306"/>
      <c r="I104" s="301"/>
    </row>
    <row r="105" spans="2:22" x14ac:dyDescent="0.25">
      <c r="B105" s="91" t="s">
        <v>250</v>
      </c>
      <c r="C105" s="93">
        <v>818400</v>
      </c>
      <c r="D105" s="9">
        <f t="shared" si="10"/>
        <v>8.7540646927947979E-3</v>
      </c>
      <c r="E105" s="64"/>
      <c r="H105" s="301"/>
      <c r="I105" s="305"/>
    </row>
    <row r="106" spans="2:22" x14ac:dyDescent="0.25">
      <c r="B106" s="91" t="s">
        <v>266</v>
      </c>
      <c r="C106" s="93">
        <v>-1011500</v>
      </c>
      <c r="D106" s="9">
        <f t="shared" si="10"/>
        <v>-1.081957042615095E-2</v>
      </c>
      <c r="E106" s="64"/>
    </row>
    <row r="107" spans="2:22" x14ac:dyDescent="0.25">
      <c r="B107" s="91" t="s">
        <v>251</v>
      </c>
      <c r="C107" s="93">
        <v>348800</v>
      </c>
      <c r="D107" s="9">
        <f t="shared" si="10"/>
        <v>3.730960123224371E-3</v>
      </c>
      <c r="E107" s="64"/>
    </row>
    <row r="108" spans="2:22" x14ac:dyDescent="0.25">
      <c r="B108" s="91" t="s">
        <v>272</v>
      </c>
      <c r="C108" s="93">
        <v>-1408700</v>
      </c>
      <c r="D108" s="9">
        <f t="shared" si="10"/>
        <v>-1.5068244052712648E-2</v>
      </c>
      <c r="E108" s="64"/>
    </row>
    <row r="109" spans="2:22" x14ac:dyDescent="0.25">
      <c r="B109" s="91" t="s">
        <v>50</v>
      </c>
      <c r="C109" s="93">
        <v>-127000</v>
      </c>
      <c r="D109" s="9">
        <f t="shared" si="10"/>
        <v>-1.3584631182611672E-3</v>
      </c>
      <c r="E109" s="64"/>
    </row>
    <row r="110" spans="2:22" x14ac:dyDescent="0.25">
      <c r="B110" s="11" t="s">
        <v>29</v>
      </c>
      <c r="C110" s="12">
        <f>SUM(C94:C109)</f>
        <v>99768800</v>
      </c>
      <c r="D110" s="13">
        <f>SUM(D95:D109)</f>
        <v>1.7858976553140511E-2</v>
      </c>
      <c r="E110" s="294"/>
      <c r="F110" s="295"/>
      <c r="G110" s="14"/>
    </row>
    <row r="111" spans="2:22" x14ac:dyDescent="0.25">
      <c r="E111" s="59"/>
    </row>
    <row r="112" spans="2:22" x14ac:dyDescent="0.25">
      <c r="B112" s="29" t="s">
        <v>61</v>
      </c>
      <c r="C112" s="67">
        <f>+C110-C94</f>
        <v>1669600</v>
      </c>
      <c r="E112" s="59"/>
    </row>
    <row r="113" spans="2:23" x14ac:dyDescent="0.25">
      <c r="B113" s="56" t="s">
        <v>62</v>
      </c>
      <c r="C113" s="57">
        <f>(C112)/C94</f>
        <v>1.7019506784968684E-2</v>
      </c>
      <c r="E113" s="59"/>
    </row>
    <row r="114" spans="2:23" x14ac:dyDescent="0.25">
      <c r="B114" s="209"/>
      <c r="C114" s="62"/>
      <c r="D114" s="62"/>
      <c r="E114" s="62"/>
      <c r="F114" s="62"/>
      <c r="G114" s="62"/>
      <c r="H114" s="62"/>
      <c r="O114" s="22"/>
      <c r="P114" s="23"/>
    </row>
    <row r="115" spans="2:23" x14ac:dyDescent="0.25">
      <c r="B115" s="29" t="s">
        <v>63</v>
      </c>
      <c r="C115" s="67">
        <f>C110-C94-'5. Vaccine Clinics and Testing'!D36</f>
        <v>1299900</v>
      </c>
      <c r="D115" s="62"/>
      <c r="E115" s="62"/>
      <c r="F115" s="62"/>
      <c r="G115" s="62"/>
      <c r="H115" s="62"/>
      <c r="O115" s="22"/>
      <c r="P115" s="23"/>
    </row>
    <row r="116" spans="2:23" x14ac:dyDescent="0.25">
      <c r="B116" s="56" t="s">
        <v>64</v>
      </c>
      <c r="C116" s="57">
        <f>+C115/C94</f>
        <v>1.3250872586116911E-2</v>
      </c>
      <c r="D116" s="15"/>
      <c r="E116" s="15"/>
      <c r="K116" s="23"/>
      <c r="L116" s="23"/>
      <c r="M116" s="14"/>
      <c r="N116" s="24"/>
      <c r="V116" s="22"/>
      <c r="W116" s="23"/>
    </row>
  </sheetData>
  <mergeCells count="7">
    <mergeCell ref="A72:A75"/>
    <mergeCell ref="B2:O2"/>
    <mergeCell ref="B3:O3"/>
    <mergeCell ref="B6:O6"/>
    <mergeCell ref="B4:O4"/>
    <mergeCell ref="B65:O65"/>
    <mergeCell ref="A12:A19"/>
  </mergeCells>
  <pageMargins left="0.7" right="0.7" top="0.25" bottom="0.25" header="0.3" footer="0.3"/>
  <pageSetup scale="75" orientation="landscape" r:id="rId1"/>
  <headerFooter>
    <oddFooter>&amp;L&amp;D&amp;R&amp;F,&amp;A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2:P67"/>
  <sheetViews>
    <sheetView showGridLines="0" topLeftCell="A31" zoomScale="90" zoomScaleNormal="90" workbookViewId="0">
      <selection activeCell="L48" sqref="L48"/>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5" customWidth="1"/>
    <col min="9" max="11" width="17.7109375" style="1" customWidth="1"/>
    <col min="12" max="12" width="15.85546875" style="1" bestFit="1" customWidth="1"/>
    <col min="13" max="14" width="13.28515625" style="1" bestFit="1" customWidth="1"/>
    <col min="15" max="15" width="12.140625" style="1" bestFit="1" customWidth="1"/>
    <col min="16" max="16" width="10.5703125" style="1" bestFit="1" customWidth="1"/>
    <col min="17" max="16384" width="8.85546875" style="1"/>
  </cols>
  <sheetData>
    <row r="2" spans="2:9" x14ac:dyDescent="0.25">
      <c r="B2" s="348" t="s">
        <v>66</v>
      </c>
      <c r="C2" s="348"/>
      <c r="D2" s="348"/>
      <c r="E2" s="348"/>
      <c r="F2" s="348"/>
      <c r="G2" s="348"/>
      <c r="H2" s="348"/>
      <c r="I2" s="348"/>
    </row>
    <row r="3" spans="2:9" ht="18.75" x14ac:dyDescent="0.3">
      <c r="B3" s="360" t="s">
        <v>13</v>
      </c>
      <c r="C3" s="361"/>
      <c r="D3" s="361"/>
      <c r="E3" s="361"/>
      <c r="F3" s="361"/>
      <c r="G3" s="361"/>
      <c r="H3" s="361"/>
      <c r="I3" s="362"/>
    </row>
    <row r="4" spans="2:9" ht="18.75" x14ac:dyDescent="0.3">
      <c r="B4" s="363" t="s">
        <v>67</v>
      </c>
      <c r="C4" s="364"/>
      <c r="D4" s="364"/>
      <c r="E4" s="364"/>
      <c r="F4" s="364"/>
      <c r="G4" s="364"/>
      <c r="H4" s="364"/>
      <c r="I4" s="365"/>
    </row>
    <row r="5" spans="2:9" ht="34.9" customHeight="1" x14ac:dyDescent="0.25">
      <c r="B5" s="359" t="s">
        <v>68</v>
      </c>
      <c r="C5" s="359"/>
      <c r="D5" s="359"/>
      <c r="E5" s="359"/>
      <c r="F5" s="359"/>
      <c r="G5" s="359"/>
      <c r="H5" s="214"/>
    </row>
    <row r="6" spans="2:9" x14ac:dyDescent="0.25">
      <c r="B6" s="215"/>
      <c r="C6" s="215"/>
      <c r="D6" s="215"/>
      <c r="E6" s="215"/>
      <c r="F6" s="215"/>
      <c r="G6" s="215"/>
      <c r="H6" s="214"/>
    </row>
    <row r="7" spans="2:9" ht="29.45" customHeight="1" x14ac:dyDescent="0.25">
      <c r="B7" s="368" t="s">
        <v>69</v>
      </c>
      <c r="C7" s="369"/>
      <c r="D7" s="370"/>
      <c r="H7" s="1"/>
    </row>
    <row r="8" spans="2:9" ht="15" customHeight="1" x14ac:dyDescent="0.25">
      <c r="B8" s="371" t="s">
        <v>70</v>
      </c>
      <c r="C8" s="372"/>
      <c r="D8" s="373"/>
      <c r="H8" s="1"/>
    </row>
    <row r="9" spans="2:9" ht="42.75" customHeight="1" x14ac:dyDescent="0.25">
      <c r="B9" s="3" t="s">
        <v>71</v>
      </c>
      <c r="C9" s="49" t="s">
        <v>72</v>
      </c>
      <c r="D9" s="49" t="s">
        <v>73</v>
      </c>
      <c r="H9" s="1"/>
    </row>
    <row r="10" spans="2:9" x14ac:dyDescent="0.25">
      <c r="B10" s="3"/>
      <c r="C10" s="3"/>
      <c r="D10" s="49"/>
      <c r="H10" s="1"/>
    </row>
    <row r="11" spans="2:9" x14ac:dyDescent="0.25">
      <c r="B11" s="3" t="s">
        <v>74</v>
      </c>
      <c r="C11" s="236">
        <f>ROUND((34570600+1782700)*0.034,-2)</f>
        <v>1236000</v>
      </c>
      <c r="D11" s="50">
        <v>3.3700000000000001E-2</v>
      </c>
      <c r="H11" s="1"/>
    </row>
    <row r="12" spans="2:9" x14ac:dyDescent="0.25">
      <c r="B12" s="3" t="s">
        <v>75</v>
      </c>
      <c r="C12" s="236">
        <f>ROUND(134617500*0.034,-2)</f>
        <v>4577000</v>
      </c>
      <c r="D12" s="50">
        <v>3.3700000000000001E-2</v>
      </c>
      <c r="H12" s="1"/>
    </row>
    <row r="13" spans="2:9" x14ac:dyDescent="0.25">
      <c r="B13" s="3" t="s">
        <v>76</v>
      </c>
      <c r="C13" s="236">
        <v>0</v>
      </c>
      <c r="D13" s="50">
        <v>0</v>
      </c>
      <c r="H13" s="1"/>
    </row>
    <row r="14" spans="2:9" x14ac:dyDescent="0.25">
      <c r="B14" s="3" t="s">
        <v>28</v>
      </c>
      <c r="C14" s="236">
        <v>0</v>
      </c>
      <c r="D14" s="50">
        <v>0</v>
      </c>
      <c r="H14" s="1"/>
    </row>
    <row r="15" spans="2:9" ht="30" x14ac:dyDescent="0.25">
      <c r="B15" s="61" t="s">
        <v>77</v>
      </c>
      <c r="C15" s="237">
        <f>SUM(C11:C14)</f>
        <v>5813000</v>
      </c>
      <c r="D15" s="216">
        <v>0.03</v>
      </c>
      <c r="H15" s="1"/>
    </row>
    <row r="16" spans="2:9" s="65" customFormat="1" x14ac:dyDescent="0.25">
      <c r="B16" s="217"/>
      <c r="C16" s="66"/>
      <c r="D16" s="66"/>
      <c r="E16" s="66"/>
      <c r="F16" s="66"/>
      <c r="G16" s="66"/>
      <c r="H16" s="66"/>
    </row>
    <row r="17" spans="2:11" ht="45" customHeight="1" x14ac:dyDescent="0.25">
      <c r="B17" s="368" t="s">
        <v>248</v>
      </c>
      <c r="C17" s="369"/>
      <c r="D17" s="369"/>
      <c r="E17" s="369"/>
      <c r="F17" s="369"/>
      <c r="G17" s="369"/>
      <c r="H17" s="369"/>
      <c r="I17" s="369"/>
      <c r="J17" s="370"/>
    </row>
    <row r="18" spans="2:11" ht="15" customHeight="1" x14ac:dyDescent="0.25">
      <c r="B18" s="371" t="s">
        <v>229</v>
      </c>
      <c r="C18" s="372"/>
      <c r="D18" s="372"/>
      <c r="E18" s="372"/>
      <c r="F18" s="372"/>
      <c r="G18" s="372"/>
      <c r="H18" s="372"/>
      <c r="I18" s="372"/>
      <c r="J18" s="373"/>
    </row>
    <row r="19" spans="2:11" ht="42.75" customHeight="1" x14ac:dyDescent="0.25">
      <c r="B19" s="3" t="s">
        <v>71</v>
      </c>
      <c r="C19" s="49" t="s">
        <v>223</v>
      </c>
      <c r="D19" s="49" t="s">
        <v>78</v>
      </c>
      <c r="E19" s="49" t="s">
        <v>224</v>
      </c>
      <c r="F19" s="379" t="s">
        <v>225</v>
      </c>
      <c r="G19" s="380"/>
      <c r="H19" s="218" t="s">
        <v>226</v>
      </c>
      <c r="I19" s="218" t="s">
        <v>227</v>
      </c>
      <c r="J19" s="218" t="s">
        <v>228</v>
      </c>
    </row>
    <row r="20" spans="2:11" x14ac:dyDescent="0.25">
      <c r="B20" s="3"/>
      <c r="C20" s="49"/>
      <c r="D20" s="219"/>
      <c r="E20" s="49"/>
      <c r="F20" s="49" t="s">
        <v>79</v>
      </c>
      <c r="G20" s="49" t="s">
        <v>80</v>
      </c>
      <c r="H20" s="49"/>
      <c r="I20" s="49"/>
      <c r="J20" s="49"/>
    </row>
    <row r="21" spans="2:11" x14ac:dyDescent="0.25">
      <c r="B21" s="3" t="s">
        <v>74</v>
      </c>
      <c r="C21" s="220">
        <f>43966100+1809300</f>
        <v>45775400</v>
      </c>
      <c r="D21" s="221">
        <f>(E21/C21)-1</f>
        <v>-0.18200605565434713</v>
      </c>
      <c r="E21" s="85">
        <f>SUM(F21:J21)</f>
        <v>37444000</v>
      </c>
      <c r="F21" s="85">
        <v>0</v>
      </c>
      <c r="G21" s="85">
        <v>11044600</v>
      </c>
      <c r="H21" s="85">
        <v>371800</v>
      </c>
      <c r="I21" s="85">
        <v>6871600</v>
      </c>
      <c r="J21" s="85">
        <v>19156000</v>
      </c>
      <c r="K21" s="285"/>
    </row>
    <row r="22" spans="2:11" x14ac:dyDescent="0.25">
      <c r="B22" s="3" t="s">
        <v>75</v>
      </c>
      <c r="C22" s="220">
        <v>126455500</v>
      </c>
      <c r="D22" s="221">
        <f t="shared" ref="D22:D25" si="0">(E22/C22)-1</f>
        <v>0.12685648311065956</v>
      </c>
      <c r="E22" s="85">
        <f>SUM(F22:J22)</f>
        <v>142497200</v>
      </c>
      <c r="F22" s="85">
        <v>0</v>
      </c>
      <c r="G22" s="85">
        <v>53593800</v>
      </c>
      <c r="H22" s="85">
        <v>2681900</v>
      </c>
      <c r="I22" s="85">
        <v>28438200</v>
      </c>
      <c r="J22" s="85">
        <v>57783300</v>
      </c>
      <c r="K22" s="285"/>
    </row>
    <row r="23" spans="2:11" x14ac:dyDescent="0.25">
      <c r="B23" s="3" t="s">
        <v>76</v>
      </c>
      <c r="C23" s="220">
        <v>21398700</v>
      </c>
      <c r="D23" s="221">
        <f t="shared" si="0"/>
        <v>9.546374312458239E-2</v>
      </c>
      <c r="E23" s="85">
        <f>SUM(F23:J23)</f>
        <v>23441500</v>
      </c>
      <c r="F23" s="85">
        <v>0</v>
      </c>
      <c r="G23" s="85">
        <f>4073400+5066600+315300</f>
        <v>9455300</v>
      </c>
      <c r="H23" s="85">
        <v>455900</v>
      </c>
      <c r="I23" s="85">
        <f>5144100+94500</f>
        <v>5238600</v>
      </c>
      <c r="J23" s="85">
        <f>8291700</f>
        <v>8291700</v>
      </c>
      <c r="K23" s="285"/>
    </row>
    <row r="24" spans="2:11" x14ac:dyDescent="0.25">
      <c r="B24" s="3" t="s">
        <v>28</v>
      </c>
      <c r="C24" s="220">
        <v>0</v>
      </c>
      <c r="D24" s="221"/>
      <c r="E24" s="85">
        <f t="shared" ref="E24" si="1">SUM(F24:J24)</f>
        <v>0</v>
      </c>
      <c r="F24" s="85"/>
      <c r="G24" s="85"/>
      <c r="H24" s="85"/>
      <c r="I24" s="85"/>
      <c r="J24" s="85"/>
    </row>
    <row r="25" spans="2:11" ht="30" x14ac:dyDescent="0.25">
      <c r="B25" s="61" t="s">
        <v>238</v>
      </c>
      <c r="C25" s="222">
        <f>SUM(C21:C24)</f>
        <v>193629600</v>
      </c>
      <c r="D25" s="221">
        <f t="shared" si="0"/>
        <v>5.0369881464404243E-2</v>
      </c>
      <c r="E25" s="222">
        <f t="shared" ref="E25:J25" si="2">SUM(E21:E24)</f>
        <v>203382700</v>
      </c>
      <c r="F25" s="86">
        <f t="shared" si="2"/>
        <v>0</v>
      </c>
      <c r="G25" s="86">
        <f t="shared" si="2"/>
        <v>74093700</v>
      </c>
      <c r="H25" s="86">
        <f t="shared" si="2"/>
        <v>3509600</v>
      </c>
      <c r="I25" s="86">
        <f t="shared" si="2"/>
        <v>40548400</v>
      </c>
      <c r="J25" s="86">
        <f t="shared" si="2"/>
        <v>85231000</v>
      </c>
      <c r="K25" s="285"/>
    </row>
    <row r="26" spans="2:11" s="65" customFormat="1" x14ac:dyDescent="0.25">
      <c r="B26" s="217"/>
      <c r="C26" s="66" t="s">
        <v>245</v>
      </c>
      <c r="D26" s="66"/>
      <c r="E26" s="66" t="s">
        <v>245</v>
      </c>
      <c r="F26" s="66"/>
      <c r="G26" s="66"/>
      <c r="H26" s="66"/>
    </row>
    <row r="27" spans="2:11" s="65" customFormat="1" x14ac:dyDescent="0.25">
      <c r="B27" s="217"/>
      <c r="C27" s="66"/>
      <c r="D27" s="66"/>
      <c r="E27" s="66"/>
      <c r="F27" s="66"/>
      <c r="G27" s="66"/>
      <c r="H27" s="66"/>
    </row>
    <row r="28" spans="2:11" s="65" customFormat="1" ht="23.45" customHeight="1" x14ac:dyDescent="0.25">
      <c r="B28" s="368" t="s">
        <v>81</v>
      </c>
      <c r="C28" s="369"/>
      <c r="D28" s="369"/>
      <c r="E28" s="369"/>
      <c r="F28" s="369"/>
      <c r="G28" s="369"/>
      <c r="H28" s="369"/>
      <c r="I28" s="369"/>
      <c r="J28" s="370"/>
    </row>
    <row r="29" spans="2:11" x14ac:dyDescent="0.25">
      <c r="B29" s="371" t="s">
        <v>221</v>
      </c>
      <c r="C29" s="372"/>
      <c r="D29" s="372"/>
      <c r="E29" s="372"/>
      <c r="F29" s="372"/>
      <c r="G29" s="372"/>
      <c r="H29" s="372"/>
      <c r="I29" s="372"/>
      <c r="J29" s="373"/>
    </row>
    <row r="30" spans="2:11" ht="42.75" customHeight="1" x14ac:dyDescent="0.25">
      <c r="B30" s="3" t="s">
        <v>82</v>
      </c>
      <c r="C30" s="3" t="s">
        <v>83</v>
      </c>
      <c r="D30" s="49" t="s">
        <v>84</v>
      </c>
      <c r="E30" s="49" t="s">
        <v>85</v>
      </c>
      <c r="F30" s="374" t="s">
        <v>230</v>
      </c>
      <c r="G30" s="375"/>
      <c r="H30" s="49" t="s">
        <v>231</v>
      </c>
      <c r="I30" s="49" t="s">
        <v>232</v>
      </c>
      <c r="J30" s="49" t="s">
        <v>233</v>
      </c>
    </row>
    <row r="31" spans="2:11" ht="15.75" customHeight="1" x14ac:dyDescent="0.25">
      <c r="B31" s="3"/>
      <c r="C31" s="3"/>
      <c r="D31" s="3"/>
      <c r="E31" s="49"/>
      <c r="F31" s="49" t="s">
        <v>79</v>
      </c>
      <c r="G31" s="49" t="s">
        <v>80</v>
      </c>
      <c r="H31" s="49"/>
      <c r="I31" s="49"/>
      <c r="J31" s="49"/>
    </row>
    <row r="32" spans="2:11" x14ac:dyDescent="0.25">
      <c r="B32" s="3" t="s">
        <v>74</v>
      </c>
      <c r="C32" s="220">
        <f>71243400-8399000+600000</f>
        <v>63444400</v>
      </c>
      <c r="D32" s="220">
        <f>+E32-C32</f>
        <v>8430888</v>
      </c>
      <c r="E32" s="223">
        <f>+G32+H32+I32+J32</f>
        <v>71875288</v>
      </c>
      <c r="F32" s="223">
        <v>0</v>
      </c>
      <c r="G32" s="223">
        <v>36588760</v>
      </c>
      <c r="H32" s="223">
        <v>1679500</v>
      </c>
      <c r="I32" s="223">
        <v>5450940</v>
      </c>
      <c r="J32" s="223">
        <v>28156088</v>
      </c>
      <c r="K32" s="286" t="s">
        <v>260</v>
      </c>
    </row>
    <row r="33" spans="2:16" x14ac:dyDescent="0.25">
      <c r="B33" s="3" t="s">
        <v>75</v>
      </c>
      <c r="C33" s="220">
        <v>0</v>
      </c>
      <c r="D33" s="220">
        <v>0</v>
      </c>
      <c r="E33" s="223">
        <v>0</v>
      </c>
      <c r="F33" s="223">
        <v>0</v>
      </c>
      <c r="G33" s="223">
        <v>0</v>
      </c>
      <c r="H33" s="223">
        <v>0</v>
      </c>
      <c r="I33" s="223">
        <v>0</v>
      </c>
      <c r="J33" s="223">
        <v>0</v>
      </c>
    </row>
    <row r="34" spans="2:16" x14ac:dyDescent="0.25">
      <c r="B34" s="3" t="s">
        <v>76</v>
      </c>
      <c r="C34" s="220">
        <v>19281900</v>
      </c>
      <c r="D34" s="220">
        <f>+E34-C34</f>
        <v>-2328100</v>
      </c>
      <c r="E34" s="223">
        <f>+G34+H34+I34+J34</f>
        <v>16953800</v>
      </c>
      <c r="F34" s="223">
        <v>0</v>
      </c>
      <c r="G34" s="223">
        <f>2793000+3692900+137800</f>
        <v>6623700</v>
      </c>
      <c r="H34" s="223">
        <v>325700</v>
      </c>
      <c r="I34" s="223">
        <f>7310800+26200-4513600</f>
        <v>2823400</v>
      </c>
      <c r="J34" s="223">
        <v>7181000</v>
      </c>
      <c r="K34" s="287"/>
    </row>
    <row r="35" spans="2:16" x14ac:dyDescent="0.25">
      <c r="B35" s="3" t="s">
        <v>28</v>
      </c>
      <c r="C35" s="220">
        <v>0</v>
      </c>
      <c r="D35" s="220">
        <v>0</v>
      </c>
      <c r="E35" s="223">
        <v>0</v>
      </c>
      <c r="F35" s="223">
        <v>0</v>
      </c>
      <c r="G35" s="223">
        <v>0</v>
      </c>
      <c r="H35" s="223">
        <v>0</v>
      </c>
      <c r="I35" s="223">
        <v>0</v>
      </c>
      <c r="J35" s="223">
        <v>0</v>
      </c>
    </row>
    <row r="36" spans="2:16" x14ac:dyDescent="0.25">
      <c r="B36" s="3"/>
      <c r="C36" s="3"/>
      <c r="D36" s="3"/>
      <c r="E36" s="223"/>
      <c r="F36" s="223"/>
      <c r="G36" s="223"/>
      <c r="H36" s="223"/>
      <c r="I36" s="223"/>
      <c r="J36" s="223"/>
    </row>
    <row r="37" spans="2:16" x14ac:dyDescent="0.25">
      <c r="B37" s="3"/>
      <c r="C37" s="3"/>
      <c r="D37" s="3"/>
      <c r="E37" s="223"/>
      <c r="F37" s="223"/>
      <c r="G37" s="223"/>
      <c r="H37" s="223"/>
      <c r="I37" s="223"/>
      <c r="J37" s="223"/>
    </row>
    <row r="38" spans="2:16" x14ac:dyDescent="0.25">
      <c r="B38" s="3"/>
      <c r="C38" s="3"/>
      <c r="D38" s="3"/>
      <c r="E38" s="223"/>
      <c r="F38" s="223"/>
      <c r="G38" s="223"/>
      <c r="H38" s="223"/>
      <c r="I38" s="223"/>
      <c r="J38" s="223"/>
    </row>
    <row r="39" spans="2:16" x14ac:dyDescent="0.25">
      <c r="B39" s="61" t="s">
        <v>237</v>
      </c>
      <c r="C39" s="224">
        <f>SUM(C32:C38)</f>
        <v>82726300</v>
      </c>
      <c r="D39" s="224">
        <f>SUM(D32:D38)</f>
        <v>6102788</v>
      </c>
      <c r="E39" s="224">
        <f t="shared" ref="E39:J39" si="3">SUM(E32:E38)</f>
        <v>88829088</v>
      </c>
      <c r="F39" s="224">
        <f t="shared" si="3"/>
        <v>0</v>
      </c>
      <c r="G39" s="224">
        <f t="shared" si="3"/>
        <v>43212460</v>
      </c>
      <c r="H39" s="224">
        <f t="shared" si="3"/>
        <v>2005200</v>
      </c>
      <c r="I39" s="224">
        <f t="shared" si="3"/>
        <v>8274340</v>
      </c>
      <c r="J39" s="224">
        <f t="shared" si="3"/>
        <v>35337088</v>
      </c>
      <c r="K39" s="311"/>
      <c r="L39" s="311"/>
      <c r="M39" s="311"/>
      <c r="N39" s="311"/>
      <c r="O39" s="311"/>
      <c r="P39" s="311"/>
    </row>
    <row r="40" spans="2:16" s="65" customFormat="1" x14ac:dyDescent="0.25">
      <c r="C40" s="66"/>
      <c r="D40" s="66"/>
      <c r="E40" s="312"/>
      <c r="F40" s="225"/>
      <c r="G40" s="342"/>
      <c r="H40" s="342"/>
      <c r="I40" s="313"/>
      <c r="J40" s="313"/>
      <c r="K40" s="313"/>
      <c r="L40" s="313"/>
      <c r="M40" s="313"/>
      <c r="N40" s="313"/>
      <c r="O40" s="313"/>
      <c r="P40" s="313"/>
    </row>
    <row r="41" spans="2:16" s="65" customFormat="1" x14ac:dyDescent="0.25">
      <c r="C41" s="66"/>
      <c r="D41" s="66"/>
      <c r="E41" s="66"/>
      <c r="F41" s="225"/>
      <c r="G41" s="225"/>
      <c r="H41" s="225"/>
      <c r="K41" s="288"/>
    </row>
    <row r="42" spans="2:16" s="65" customFormat="1" x14ac:dyDescent="0.25">
      <c r="B42" s="371" t="s">
        <v>222</v>
      </c>
      <c r="C42" s="372"/>
      <c r="D42" s="372"/>
      <c r="E42" s="372"/>
      <c r="F42" s="372"/>
      <c r="G42" s="372"/>
      <c r="H42" s="373"/>
      <c r="I42" s="288"/>
      <c r="K42" s="288"/>
      <c r="L42" s="288"/>
    </row>
    <row r="43" spans="2:16" s="65" customFormat="1" ht="42.6" customHeight="1" x14ac:dyDescent="0.25">
      <c r="B43" s="3" t="s">
        <v>82</v>
      </c>
      <c r="C43" s="3"/>
      <c r="D43" s="49" t="s">
        <v>84</v>
      </c>
      <c r="E43" s="49" t="s">
        <v>86</v>
      </c>
      <c r="F43" s="255" t="s">
        <v>243</v>
      </c>
      <c r="G43" s="49" t="s">
        <v>234</v>
      </c>
      <c r="H43" s="49" t="s">
        <v>235</v>
      </c>
    </row>
    <row r="44" spans="2:16" s="65" customFormat="1" x14ac:dyDescent="0.25">
      <c r="B44" s="3" t="s">
        <v>74</v>
      </c>
      <c r="C44" s="296">
        <f>4168100+600000</f>
        <v>4768100</v>
      </c>
      <c r="D44" s="220">
        <f>+E44-C44</f>
        <v>-254500</v>
      </c>
      <c r="E44" s="223">
        <f t="shared" ref="E44:E48" si="4">SUM(F44:H44)</f>
        <v>4513600</v>
      </c>
      <c r="F44" s="223">
        <v>0</v>
      </c>
      <c r="G44" s="223">
        <v>4513600</v>
      </c>
      <c r="H44" s="223">
        <v>0</v>
      </c>
      <c r="I44" s="286" t="s">
        <v>260</v>
      </c>
    </row>
    <row r="45" spans="2:16" s="65" customFormat="1" x14ac:dyDescent="0.25">
      <c r="B45" s="3" t="s">
        <v>75</v>
      </c>
      <c r="C45" s="220">
        <v>0</v>
      </c>
      <c r="D45" s="220">
        <f t="shared" ref="D45:D46" si="5">+E45-C45</f>
        <v>0</v>
      </c>
      <c r="E45" s="223">
        <f t="shared" si="4"/>
        <v>0</v>
      </c>
      <c r="F45" s="223">
        <v>0</v>
      </c>
      <c r="G45" s="223">
        <v>0</v>
      </c>
      <c r="H45" s="223">
        <v>0</v>
      </c>
    </row>
    <row r="46" spans="2:16" s="65" customFormat="1" x14ac:dyDescent="0.25">
      <c r="B46" s="3" t="s">
        <v>76</v>
      </c>
      <c r="C46" s="220">
        <v>3630900</v>
      </c>
      <c r="D46" s="220">
        <f t="shared" si="5"/>
        <v>882700</v>
      </c>
      <c r="E46" s="223">
        <f t="shared" si="4"/>
        <v>4513600</v>
      </c>
      <c r="F46" s="223">
        <v>0</v>
      </c>
      <c r="G46" s="223">
        <v>4513600</v>
      </c>
      <c r="H46" s="223">
        <v>0</v>
      </c>
    </row>
    <row r="47" spans="2:16" s="65" customFormat="1" x14ac:dyDescent="0.25">
      <c r="B47" s="3" t="s">
        <v>87</v>
      </c>
      <c r="C47" s="220">
        <v>-600000</v>
      </c>
      <c r="D47" s="220">
        <f>+E47-C47</f>
        <v>-212500</v>
      </c>
      <c r="E47" s="223">
        <f t="shared" si="4"/>
        <v>-812500</v>
      </c>
      <c r="F47" s="223">
        <v>0</v>
      </c>
      <c r="G47" s="223">
        <v>-812500</v>
      </c>
      <c r="H47" s="223">
        <v>0</v>
      </c>
    </row>
    <row r="48" spans="2:16" s="65" customFormat="1" x14ac:dyDescent="0.25">
      <c r="B48" s="3" t="s">
        <v>88</v>
      </c>
      <c r="C48" s="220">
        <v>0</v>
      </c>
      <c r="D48" s="220">
        <f>+E48-C48</f>
        <v>325000</v>
      </c>
      <c r="E48" s="223">
        <f t="shared" si="4"/>
        <v>325000</v>
      </c>
      <c r="F48" s="223">
        <v>0</v>
      </c>
      <c r="G48" s="223">
        <v>325000</v>
      </c>
      <c r="H48" s="223">
        <v>0</v>
      </c>
    </row>
    <row r="49" spans="2:10" s="65" customFormat="1" x14ac:dyDescent="0.25">
      <c r="B49" s="61" t="s">
        <v>236</v>
      </c>
      <c r="C49" s="224">
        <f>SUM(C44:C48)</f>
        <v>7799000</v>
      </c>
      <c r="D49" s="224">
        <f>SUM(D44:D48)</f>
        <v>740700</v>
      </c>
      <c r="E49" s="224">
        <f>SUM(E44:E48)</f>
        <v>8539700</v>
      </c>
      <c r="F49" s="224">
        <f t="shared" ref="F49:H49" si="6">SUM(F44:F48)</f>
        <v>0</v>
      </c>
      <c r="G49" s="224">
        <f t="shared" si="6"/>
        <v>8539700</v>
      </c>
      <c r="H49" s="224">
        <f t="shared" si="6"/>
        <v>0</v>
      </c>
    </row>
    <row r="50" spans="2:10" s="65" customFormat="1" x14ac:dyDescent="0.25">
      <c r="C50" s="289"/>
      <c r="D50" s="66"/>
      <c r="E50" s="289"/>
      <c r="F50" s="65" t="s">
        <v>244</v>
      </c>
      <c r="G50" s="225"/>
      <c r="H50" s="225"/>
    </row>
    <row r="51" spans="2:10" s="65" customFormat="1" ht="15.75" thickBot="1" x14ac:dyDescent="0.3">
      <c r="B51" s="214"/>
      <c r="C51" s="225"/>
      <c r="D51" s="225"/>
      <c r="E51" s="225"/>
      <c r="F51" s="225"/>
      <c r="G51" s="225"/>
      <c r="H51" s="225"/>
    </row>
    <row r="52" spans="2:10" s="65" customFormat="1" ht="30" x14ac:dyDescent="0.25">
      <c r="B52" s="226"/>
      <c r="C52" s="227" t="s">
        <v>89</v>
      </c>
      <c r="D52" s="227" t="s">
        <v>84</v>
      </c>
      <c r="E52" s="227" t="s">
        <v>78</v>
      </c>
      <c r="F52" s="228" t="s">
        <v>90</v>
      </c>
      <c r="G52" s="225"/>
      <c r="H52" s="225"/>
      <c r="I52" s="225"/>
    </row>
    <row r="53" spans="2:10" s="65" customFormat="1" x14ac:dyDescent="0.25">
      <c r="B53" s="239" t="s">
        <v>91</v>
      </c>
      <c r="C53" s="238">
        <f>C39+C49</f>
        <v>90525300</v>
      </c>
      <c r="D53" s="238">
        <f>D39+D49</f>
        <v>6843488</v>
      </c>
      <c r="E53" s="290">
        <f>D53/C53</f>
        <v>7.5597518041917569E-2</v>
      </c>
      <c r="F53" s="240">
        <f>E39+E49</f>
        <v>97368788</v>
      </c>
      <c r="G53" s="225"/>
      <c r="H53" s="225"/>
      <c r="I53" s="225"/>
    </row>
    <row r="54" spans="2:10" s="65" customFormat="1" x14ac:dyDescent="0.25">
      <c r="B54" s="239" t="s">
        <v>92</v>
      </c>
      <c r="C54" s="241">
        <f>'1. Reconciliation'!C11</f>
        <v>90525300</v>
      </c>
      <c r="D54" s="241">
        <f>+'1. Reconciliation'!C26</f>
        <v>6843488</v>
      </c>
      <c r="E54" s="242">
        <f>+'1. Reconciliation'!C27</f>
        <v>7.5597518041917569E-2</v>
      </c>
      <c r="F54" s="243">
        <f>+'1. Reconciliation'!C24</f>
        <v>97368788</v>
      </c>
      <c r="G54" s="225"/>
      <c r="H54" s="225"/>
      <c r="I54" s="225"/>
    </row>
    <row r="55" spans="2:10" s="65" customFormat="1" ht="18" customHeight="1" thickBot="1" x14ac:dyDescent="0.3">
      <c r="B55" s="244" t="s">
        <v>93</v>
      </c>
      <c r="C55" s="245">
        <f>C53-C54</f>
        <v>0</v>
      </c>
      <c r="D55" s="245">
        <f t="shared" ref="D55:F55" si="7">D53-D54</f>
        <v>0</v>
      </c>
      <c r="E55" s="245">
        <f t="shared" si="7"/>
        <v>0</v>
      </c>
      <c r="F55" s="246">
        <f t="shared" si="7"/>
        <v>0</v>
      </c>
      <c r="G55" s="225"/>
      <c r="H55" s="225"/>
      <c r="I55" s="225"/>
    </row>
    <row r="56" spans="2:10" s="65" customFormat="1" x14ac:dyDescent="0.25">
      <c r="G56" s="225"/>
      <c r="H56" s="225"/>
      <c r="I56" s="225"/>
      <c r="J56" s="1"/>
    </row>
    <row r="57" spans="2:10" x14ac:dyDescent="0.25">
      <c r="B57" s="229"/>
      <c r="C57" s="230"/>
      <c r="D57" s="231"/>
      <c r="E57" s="232"/>
      <c r="F57" s="232"/>
      <c r="G57" s="232"/>
      <c r="H57" s="233"/>
    </row>
    <row r="58" spans="2:10" x14ac:dyDescent="0.25">
      <c r="B58" s="376" t="s">
        <v>94</v>
      </c>
      <c r="C58" s="377"/>
      <c r="D58" s="377"/>
      <c r="E58" s="377"/>
      <c r="F58" s="377"/>
      <c r="G58" s="378"/>
      <c r="H58" s="233"/>
    </row>
    <row r="59" spans="2:10" x14ac:dyDescent="0.25">
      <c r="B59" s="371" t="s">
        <v>95</v>
      </c>
      <c r="C59" s="372"/>
      <c r="D59" s="372"/>
      <c r="E59" s="372"/>
      <c r="F59" s="372"/>
      <c r="G59" s="373"/>
      <c r="H59" s="234"/>
    </row>
    <row r="60" spans="2:10" x14ac:dyDescent="0.25">
      <c r="B60" s="366">
        <v>401300</v>
      </c>
      <c r="C60" s="367"/>
      <c r="D60" s="367"/>
      <c r="E60" s="367"/>
      <c r="F60" s="367"/>
      <c r="G60" s="367"/>
    </row>
    <row r="61" spans="2:10" x14ac:dyDescent="0.25">
      <c r="B61" s="367"/>
      <c r="C61" s="367"/>
      <c r="D61" s="367"/>
      <c r="E61" s="367"/>
      <c r="F61" s="367"/>
      <c r="G61" s="367"/>
    </row>
    <row r="62" spans="2:10" x14ac:dyDescent="0.25">
      <c r="B62" s="367"/>
      <c r="C62" s="367"/>
      <c r="D62" s="367"/>
      <c r="E62" s="367"/>
      <c r="F62" s="367"/>
      <c r="G62" s="367"/>
    </row>
    <row r="63" spans="2:10" x14ac:dyDescent="0.25">
      <c r="B63" s="367"/>
      <c r="C63" s="367"/>
      <c r="D63" s="367"/>
      <c r="E63" s="367"/>
      <c r="F63" s="367"/>
      <c r="G63" s="367"/>
    </row>
    <row r="64" spans="2:10" x14ac:dyDescent="0.25">
      <c r="B64" s="367"/>
      <c r="C64" s="367"/>
      <c r="D64" s="367"/>
      <c r="E64" s="367"/>
      <c r="F64" s="367"/>
      <c r="G64" s="367"/>
    </row>
    <row r="67" spans="3:3" x14ac:dyDescent="0.25">
      <c r="C67" s="20"/>
    </row>
  </sheetData>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25" bottom="0.25" header="0.3" footer="0.3"/>
  <pageSetup scale="54" orientation="landscape" r:id="rId1"/>
  <headerFooter>
    <oddFooter>&amp;L&amp;D&amp;R&amp;F,&amp;A,</oddFooter>
  </headerFooter>
  <ignoredErrors>
    <ignoredError sqref="E53 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19"/>
  <sheetViews>
    <sheetView showGridLines="0" zoomScale="90" zoomScaleNormal="90" workbookViewId="0">
      <selection activeCell="D9" sqref="D9:D10"/>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11" style="1" bestFit="1" customWidth="1"/>
    <col min="6" max="16384" width="8.85546875" style="1"/>
  </cols>
  <sheetData>
    <row r="1" spans="2:5" x14ac:dyDescent="0.25">
      <c r="B1" s="381" t="s">
        <v>96</v>
      </c>
      <c r="C1" s="381"/>
      <c r="D1" s="381"/>
    </row>
    <row r="2" spans="2:5" ht="21" x14ac:dyDescent="0.35">
      <c r="B2" s="382" t="s">
        <v>5</v>
      </c>
      <c r="C2" s="383"/>
      <c r="D2" s="384"/>
    </row>
    <row r="3" spans="2:5" ht="18.75" x14ac:dyDescent="0.3">
      <c r="B3" s="386" t="s">
        <v>97</v>
      </c>
      <c r="C3" s="387"/>
      <c r="D3" s="388"/>
    </row>
    <row r="4" spans="2:5" ht="65.25" customHeight="1" x14ac:dyDescent="0.25">
      <c r="B4" s="385" t="s">
        <v>239</v>
      </c>
      <c r="C4" s="385"/>
      <c r="D4" s="385"/>
    </row>
    <row r="5" spans="2:5" x14ac:dyDescent="0.25">
      <c r="B5" s="21"/>
      <c r="C5" s="2"/>
      <c r="D5" s="2"/>
    </row>
    <row r="6" spans="2:5" x14ac:dyDescent="0.25">
      <c r="B6" s="390" t="s">
        <v>98</v>
      </c>
      <c r="C6" s="389" t="s">
        <v>99</v>
      </c>
      <c r="D6" s="389" t="s">
        <v>100</v>
      </c>
    </row>
    <row r="7" spans="2:5" x14ac:dyDescent="0.25">
      <c r="B7" s="390"/>
      <c r="C7" s="389"/>
      <c r="D7" s="389"/>
    </row>
    <row r="8" spans="2:5" x14ac:dyDescent="0.25">
      <c r="B8" s="83" t="s">
        <v>22</v>
      </c>
      <c r="C8" s="275"/>
      <c r="D8" s="276">
        <v>193752100</v>
      </c>
    </row>
    <row r="9" spans="2:5" x14ac:dyDescent="0.25">
      <c r="B9" s="113" t="s">
        <v>269</v>
      </c>
      <c r="C9" s="316">
        <f>+D9/D8</f>
        <v>4.2337605631113159E-3</v>
      </c>
      <c r="D9" s="277">
        <f>23441500-21521200-1100000</f>
        <v>820300</v>
      </c>
      <c r="E9" s="329"/>
    </row>
    <row r="10" spans="2:5" x14ac:dyDescent="0.25">
      <c r="B10" s="3" t="s">
        <v>270</v>
      </c>
      <c r="C10" s="50">
        <f>+D10/D8</f>
        <v>2.7589894509530477E-2</v>
      </c>
      <c r="D10" s="277">
        <v>5345600</v>
      </c>
    </row>
    <row r="11" spans="2:5" x14ac:dyDescent="0.25">
      <c r="B11" s="3" t="s">
        <v>273</v>
      </c>
      <c r="C11" s="50">
        <f>+D11/D8</f>
        <v>9.3418342304418898E-3</v>
      </c>
      <c r="D11" s="277">
        <v>1810000</v>
      </c>
    </row>
    <row r="12" spans="2:5" x14ac:dyDescent="0.25">
      <c r="B12" s="3"/>
      <c r="C12" s="50"/>
      <c r="D12" s="277"/>
    </row>
    <row r="13" spans="2:5" x14ac:dyDescent="0.25">
      <c r="B13" s="3" t="s">
        <v>271</v>
      </c>
      <c r="C13" s="50"/>
      <c r="D13" s="277">
        <v>-1800000</v>
      </c>
    </row>
    <row r="14" spans="2:5" x14ac:dyDescent="0.25">
      <c r="B14" s="3"/>
      <c r="C14" s="50"/>
      <c r="D14" s="277"/>
    </row>
    <row r="15" spans="2:5" x14ac:dyDescent="0.25">
      <c r="B15" s="83" t="s">
        <v>29</v>
      </c>
      <c r="C15" s="275">
        <f>SUM(C8:C14)</f>
        <v>4.1165489303083683E-2</v>
      </c>
      <c r="D15" s="276">
        <f t="shared" ref="D15" si="0">SUM(D8:D14)</f>
        <v>199928000</v>
      </c>
    </row>
    <row r="16" spans="2:5" x14ac:dyDescent="0.25">
      <c r="B16" s="79"/>
      <c r="C16" s="45"/>
      <c r="D16" s="45"/>
    </row>
    <row r="17" spans="2:4" x14ac:dyDescent="0.25">
      <c r="B17" s="29" t="s">
        <v>101</v>
      </c>
      <c r="C17" s="105"/>
      <c r="D17" s="84">
        <f>SUM(D9:D14)</f>
        <v>6175900</v>
      </c>
    </row>
    <row r="18" spans="2:4" x14ac:dyDescent="0.25">
      <c r="B18" s="29" t="s">
        <v>102</v>
      </c>
      <c r="C18" s="315">
        <f>D15/D8-1</f>
        <v>3.187526741645641E-2</v>
      </c>
      <c r="D18" s="106"/>
    </row>
    <row r="19" spans="2:4" x14ac:dyDescent="0.25">
      <c r="B19" s="79" t="s">
        <v>103</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N19"/>
  <sheetViews>
    <sheetView showGridLines="0" zoomScaleNormal="100" workbookViewId="0">
      <selection activeCell="D14" sqref="D14"/>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1" max="11" width="15.28515625" bestFit="1" customWidth="1"/>
    <col min="14" max="14" width="12.5703125" bestFit="1" customWidth="1"/>
  </cols>
  <sheetData>
    <row r="1" spans="2:14" x14ac:dyDescent="0.25">
      <c r="B1" s="348" t="s">
        <v>104</v>
      </c>
      <c r="C1" s="348"/>
      <c r="D1" s="348"/>
      <c r="E1" s="348"/>
      <c r="F1" s="348"/>
      <c r="G1" s="348"/>
    </row>
    <row r="2" spans="2:14" ht="18.75" x14ac:dyDescent="0.3">
      <c r="B2" s="392" t="s">
        <v>13</v>
      </c>
      <c r="C2" s="393"/>
      <c r="D2" s="393"/>
      <c r="E2" s="393"/>
      <c r="F2" s="393"/>
      <c r="G2" s="394"/>
    </row>
    <row r="3" spans="2:14" ht="18.75" x14ac:dyDescent="0.3">
      <c r="B3" s="386" t="s">
        <v>105</v>
      </c>
      <c r="C3" s="387"/>
      <c r="D3" s="387"/>
      <c r="E3" s="387"/>
      <c r="F3" s="387"/>
      <c r="G3" s="388"/>
    </row>
    <row r="4" spans="2:14" ht="63" customHeight="1" x14ac:dyDescent="0.25">
      <c r="B4" s="395" t="s">
        <v>217</v>
      </c>
      <c r="C4" s="395"/>
      <c r="D4" s="395"/>
      <c r="E4" s="395"/>
      <c r="F4" s="395"/>
      <c r="G4" s="395"/>
      <c r="K4" s="14"/>
    </row>
    <row r="5" spans="2:14" ht="17.45" customHeight="1" x14ac:dyDescent="0.25">
      <c r="B5" s="48" t="s">
        <v>106</v>
      </c>
      <c r="C5" s="396" t="s">
        <v>107</v>
      </c>
      <c r="D5" s="397"/>
      <c r="E5" s="397"/>
      <c r="F5" s="398"/>
      <c r="G5" s="60" t="s">
        <v>108</v>
      </c>
      <c r="K5" s="14"/>
    </row>
    <row r="6" spans="2:14" ht="31.5" customHeight="1" x14ac:dyDescent="0.25">
      <c r="B6" s="16"/>
      <c r="C6" s="51" t="s">
        <v>109</v>
      </c>
      <c r="D6" s="52" t="s">
        <v>110</v>
      </c>
      <c r="E6" s="247" t="s">
        <v>111</v>
      </c>
      <c r="F6" s="247" t="s">
        <v>246</v>
      </c>
      <c r="G6" s="16"/>
      <c r="K6" s="14"/>
    </row>
    <row r="7" spans="2:14" ht="31.5" customHeight="1" x14ac:dyDescent="0.25">
      <c r="B7" s="248" t="s">
        <v>112</v>
      </c>
      <c r="C7" s="249">
        <v>0.02</v>
      </c>
      <c r="D7" s="250">
        <v>500000</v>
      </c>
      <c r="E7" s="251">
        <v>0.6</v>
      </c>
      <c r="F7" s="252">
        <f>C7*E7</f>
        <v>1.2E-2</v>
      </c>
      <c r="G7" s="248" t="s">
        <v>113</v>
      </c>
      <c r="K7" s="14"/>
    </row>
    <row r="8" spans="2:14" ht="27" customHeight="1" x14ac:dyDescent="0.25">
      <c r="B8" s="16" t="s">
        <v>114</v>
      </c>
      <c r="C8" s="51">
        <v>2.5000000000000001E-2</v>
      </c>
      <c r="D8" s="280">
        <v>512200</v>
      </c>
      <c r="E8" s="51">
        <v>0.20699999999999999</v>
      </c>
      <c r="F8" s="9">
        <f>C8*E8</f>
        <v>5.1749999999999999E-3</v>
      </c>
      <c r="G8" s="16" t="s">
        <v>254</v>
      </c>
      <c r="K8" s="299"/>
      <c r="L8" s="300"/>
      <c r="M8" s="301"/>
      <c r="N8" s="299"/>
    </row>
    <row r="9" spans="2:14" ht="27" customHeight="1" x14ac:dyDescent="0.25">
      <c r="B9" s="16" t="s">
        <v>115</v>
      </c>
      <c r="C9" s="51">
        <v>2.5000000000000001E-2</v>
      </c>
      <c r="D9" s="280">
        <v>966700</v>
      </c>
      <c r="E9" s="51">
        <v>0.39</v>
      </c>
      <c r="F9" s="9">
        <f t="shared" ref="F9:F15" si="0">C9*E9</f>
        <v>9.7500000000000017E-3</v>
      </c>
      <c r="G9" s="16" t="s">
        <v>254</v>
      </c>
      <c r="K9" s="299"/>
      <c r="L9" s="300"/>
      <c r="M9" s="301"/>
      <c r="N9" s="299"/>
    </row>
    <row r="10" spans="2:14" ht="27" customHeight="1" x14ac:dyDescent="0.25">
      <c r="B10" s="16" t="s">
        <v>47</v>
      </c>
      <c r="C10" s="51">
        <v>2.7E-2</v>
      </c>
      <c r="D10" s="280">
        <v>83700</v>
      </c>
      <c r="E10" s="51">
        <v>3.1E-2</v>
      </c>
      <c r="F10" s="9">
        <f t="shared" si="0"/>
        <v>8.3699999999999996E-4</v>
      </c>
      <c r="G10" s="16" t="s">
        <v>255</v>
      </c>
      <c r="K10" s="299"/>
      <c r="L10" s="300"/>
      <c r="M10" s="301"/>
      <c r="N10" s="299"/>
    </row>
    <row r="11" spans="2:14" ht="27" customHeight="1" x14ac:dyDescent="0.25">
      <c r="B11" s="16" t="s">
        <v>116</v>
      </c>
      <c r="C11" s="51">
        <v>2.2499999999999999E-2</v>
      </c>
      <c r="D11" s="282">
        <v>79400</v>
      </c>
      <c r="E11" s="51">
        <v>5.2999999999999999E-2</v>
      </c>
      <c r="F11" s="9">
        <f t="shared" si="0"/>
        <v>1.1925E-3</v>
      </c>
      <c r="G11" s="16" t="s">
        <v>256</v>
      </c>
      <c r="K11" s="302"/>
      <c r="L11" s="300"/>
      <c r="M11" s="301"/>
      <c r="N11" s="302"/>
    </row>
    <row r="12" spans="2:14" ht="27" customHeight="1" x14ac:dyDescent="0.25">
      <c r="B12" s="16" t="s">
        <v>117</v>
      </c>
      <c r="C12" s="51"/>
      <c r="D12" s="52"/>
      <c r="E12" s="51"/>
      <c r="F12" s="9">
        <f t="shared" si="0"/>
        <v>0</v>
      </c>
      <c r="G12" s="16" t="s">
        <v>257</v>
      </c>
      <c r="K12" s="303"/>
      <c r="L12" s="300"/>
      <c r="M12" s="301"/>
      <c r="N12" s="303"/>
    </row>
    <row r="13" spans="2:14" ht="27" customHeight="1" x14ac:dyDescent="0.25">
      <c r="B13" s="30" t="s">
        <v>252</v>
      </c>
      <c r="C13" s="51">
        <v>0.02</v>
      </c>
      <c r="D13" s="280">
        <v>311200</v>
      </c>
      <c r="E13" s="51">
        <v>0.14000000000000001</v>
      </c>
      <c r="F13" s="9">
        <f t="shared" si="0"/>
        <v>2.8000000000000004E-3</v>
      </c>
      <c r="G13" s="16" t="s">
        <v>256</v>
      </c>
      <c r="K13" s="304"/>
      <c r="L13" s="300"/>
      <c r="M13" s="301"/>
      <c r="N13" s="303"/>
    </row>
    <row r="14" spans="2:14" ht="27" customHeight="1" x14ac:dyDescent="0.25">
      <c r="B14" s="30" t="s">
        <v>118</v>
      </c>
      <c r="C14" s="51">
        <v>0.02</v>
      </c>
      <c r="D14" s="341">
        <v>169900</v>
      </c>
      <c r="E14" s="51">
        <v>9.0999999999999998E-2</v>
      </c>
      <c r="F14" s="9">
        <f t="shared" si="0"/>
        <v>1.82E-3</v>
      </c>
      <c r="G14" s="16" t="s">
        <v>256</v>
      </c>
      <c r="K14" s="299"/>
      <c r="L14" s="300"/>
      <c r="M14" s="301"/>
      <c r="N14" s="299"/>
    </row>
    <row r="15" spans="2:14" ht="27" customHeight="1" x14ac:dyDescent="0.25">
      <c r="B15" s="30" t="s">
        <v>253</v>
      </c>
      <c r="C15" s="51">
        <v>0</v>
      </c>
      <c r="D15" s="52">
        <v>0</v>
      </c>
      <c r="E15" s="51">
        <v>8.6999999999999994E-2</v>
      </c>
      <c r="F15" s="9">
        <f t="shared" si="0"/>
        <v>0</v>
      </c>
      <c r="G15" s="16" t="s">
        <v>258</v>
      </c>
      <c r="K15" s="303"/>
      <c r="L15" s="300"/>
      <c r="M15" s="301"/>
      <c r="N15" s="303"/>
    </row>
    <row r="16" spans="2:14" x14ac:dyDescent="0.25">
      <c r="B16" s="11" t="s">
        <v>18</v>
      </c>
      <c r="C16" s="81" t="s">
        <v>119</v>
      </c>
      <c r="D16" s="82">
        <f>SUM(D8:D15)</f>
        <v>2123100</v>
      </c>
      <c r="E16" s="283">
        <f>SUM(E8:E15)</f>
        <v>0.999</v>
      </c>
      <c r="F16" s="284">
        <f>SUM(F8:F15)</f>
        <v>2.15745E-2</v>
      </c>
      <c r="G16" s="11"/>
      <c r="K16" s="295"/>
      <c r="L16" s="300"/>
      <c r="M16" s="301"/>
      <c r="N16" s="301"/>
    </row>
    <row r="17" spans="2:14" x14ac:dyDescent="0.25">
      <c r="B17" s="18"/>
      <c r="D17" s="331"/>
      <c r="E17" t="s">
        <v>120</v>
      </c>
      <c r="K17" s="295"/>
      <c r="L17" s="301"/>
      <c r="M17" s="301"/>
      <c r="N17" s="301"/>
    </row>
    <row r="18" spans="2:14" x14ac:dyDescent="0.25">
      <c r="D18" s="331"/>
    </row>
    <row r="19" spans="2:14" x14ac:dyDescent="0.25">
      <c r="B19" s="391" t="s">
        <v>121</v>
      </c>
      <c r="C19" s="391"/>
      <c r="D19" s="391"/>
      <c r="E19" s="391"/>
      <c r="F19" s="256"/>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F80"/>
  <sheetViews>
    <sheetView showGridLines="0" zoomScale="50" zoomScaleNormal="50" zoomScaleSheetLayoutView="30" workbookViewId="0">
      <selection activeCell="P41" sqref="P41"/>
    </sheetView>
  </sheetViews>
  <sheetFormatPr defaultColWidth="9.140625" defaultRowHeight="15" outlineLevelRow="1" x14ac:dyDescent="0.25"/>
  <cols>
    <col min="1" max="1" width="1.5703125" style="198" customWidth="1"/>
    <col min="2" max="2" width="113.5703125" style="199" customWidth="1"/>
    <col min="3" max="3" width="59.85546875" style="199" customWidth="1"/>
    <col min="4" max="4" width="59.85546875" style="22" customWidth="1"/>
    <col min="5" max="16384" width="9.140625" style="22"/>
  </cols>
  <sheetData>
    <row r="1" spans="1:6" s="115" customFormat="1" x14ac:dyDescent="0.25">
      <c r="A1" s="114"/>
    </row>
    <row r="2" spans="1:6" s="1" customFormat="1" ht="31.5" x14ac:dyDescent="0.5">
      <c r="B2" s="407" t="s">
        <v>122</v>
      </c>
      <c r="C2" s="407"/>
      <c r="D2" s="407"/>
      <c r="E2" s="213"/>
      <c r="F2" s="213"/>
    </row>
    <row r="3" spans="1:6" s="1" customFormat="1" ht="31.5" x14ac:dyDescent="0.5">
      <c r="B3" s="404" t="s">
        <v>2</v>
      </c>
      <c r="C3" s="405"/>
      <c r="D3" s="406"/>
      <c r="E3" s="117"/>
      <c r="F3" s="117"/>
    </row>
    <row r="4" spans="1:6" s="1" customFormat="1" ht="31.5" x14ac:dyDescent="0.5">
      <c r="B4" s="408" t="s">
        <v>123</v>
      </c>
      <c r="C4" s="409"/>
      <c r="D4" s="410"/>
    </row>
    <row r="5" spans="1:6" s="65" customFormat="1" ht="18.75" x14ac:dyDescent="0.3">
      <c r="B5" s="212"/>
      <c r="C5" s="212"/>
      <c r="D5" s="212"/>
      <c r="E5" s="212"/>
      <c r="F5" s="212"/>
    </row>
    <row r="6" spans="1:6" s="65" customFormat="1" ht="18.75" x14ac:dyDescent="0.3">
      <c r="B6" s="212"/>
      <c r="C6" s="212"/>
      <c r="D6" s="212"/>
      <c r="E6" s="212"/>
      <c r="F6" s="212"/>
    </row>
    <row r="7" spans="1:6" s="117" customFormat="1" ht="31.5" x14ac:dyDescent="0.5">
      <c r="A7" s="116"/>
      <c r="B7" s="399" t="s">
        <v>124</v>
      </c>
      <c r="C7" s="400"/>
      <c r="D7" s="401"/>
    </row>
    <row r="8" spans="1:6" s="121" customFormat="1" ht="31.5" x14ac:dyDescent="0.5">
      <c r="A8" s="118"/>
      <c r="B8" s="119"/>
      <c r="C8" s="205"/>
      <c r="D8" s="120"/>
    </row>
    <row r="9" spans="1:6" s="117" customFormat="1" ht="48" customHeight="1" x14ac:dyDescent="0.5">
      <c r="A9" s="116"/>
      <c r="B9" s="122" t="s">
        <v>125</v>
      </c>
      <c r="C9" s="206"/>
      <c r="D9" s="208"/>
    </row>
    <row r="10" spans="1:6" s="124" customFormat="1" ht="15.75" customHeight="1" x14ac:dyDescent="0.4">
      <c r="A10" s="123"/>
      <c r="B10" s="402"/>
      <c r="C10" s="403"/>
      <c r="D10" s="403"/>
    </row>
    <row r="11" spans="1:6" s="124" customFormat="1" ht="24.75" customHeight="1" x14ac:dyDescent="0.4">
      <c r="A11" s="123"/>
      <c r="B11" s="257"/>
      <c r="C11" s="258"/>
      <c r="D11" s="258"/>
    </row>
    <row r="12" spans="1:6" s="128" customFormat="1" ht="11.25" customHeight="1" x14ac:dyDescent="0.4">
      <c r="A12" s="125"/>
      <c r="B12" s="126"/>
      <c r="C12" s="207"/>
      <c r="D12" s="127"/>
    </row>
    <row r="13" spans="1:6" s="133" customFormat="1" ht="104.25" customHeight="1" x14ac:dyDescent="0.25">
      <c r="A13" s="129"/>
      <c r="B13" s="130" t="s">
        <v>126</v>
      </c>
      <c r="C13" s="131" t="s">
        <v>127</v>
      </c>
      <c r="D13" s="131" t="s">
        <v>128</v>
      </c>
      <c r="E13" s="132"/>
    </row>
    <row r="14" spans="1:6" s="121" customFormat="1" ht="31.5" x14ac:dyDescent="0.5">
      <c r="A14" s="134"/>
      <c r="B14" s="135" t="s">
        <v>129</v>
      </c>
      <c r="C14" s="136"/>
      <c r="D14" s="137"/>
    </row>
    <row r="15" spans="1:6" s="117" customFormat="1" ht="30" hidden="1" customHeight="1" x14ac:dyDescent="0.5">
      <c r="A15" s="138"/>
      <c r="B15" s="139" t="s">
        <v>130</v>
      </c>
      <c r="C15" s="140"/>
      <c r="D15" s="141"/>
      <c r="E15" s="142"/>
    </row>
    <row r="16" spans="1:6" s="121" customFormat="1" ht="30" hidden="1" customHeight="1" x14ac:dyDescent="0.5">
      <c r="A16" s="134"/>
      <c r="B16" s="143" t="s">
        <v>131</v>
      </c>
      <c r="C16" s="144"/>
      <c r="D16" s="145"/>
      <c r="E16" s="146"/>
    </row>
    <row r="17" spans="1:5" s="121" customFormat="1" ht="30" hidden="1" customHeight="1" x14ac:dyDescent="0.5">
      <c r="A17" s="134"/>
      <c r="B17" s="147" t="s">
        <v>132</v>
      </c>
      <c r="C17" s="144"/>
      <c r="D17" s="145"/>
      <c r="E17" s="146"/>
    </row>
    <row r="18" spans="1:5" s="121" customFormat="1" ht="30" hidden="1" customHeight="1" x14ac:dyDescent="0.5">
      <c r="A18" s="134"/>
      <c r="B18" s="143" t="s">
        <v>133</v>
      </c>
      <c r="C18" s="144"/>
      <c r="D18" s="145"/>
      <c r="E18" s="146"/>
    </row>
    <row r="19" spans="1:5" s="121" customFormat="1" ht="30" hidden="1" customHeight="1" x14ac:dyDescent="0.5">
      <c r="A19" s="134"/>
      <c r="B19" s="143" t="s">
        <v>134</v>
      </c>
      <c r="C19" s="144"/>
      <c r="D19" s="145"/>
      <c r="E19" s="146"/>
    </row>
    <row r="20" spans="1:5" s="121" customFormat="1" ht="30" hidden="1" customHeight="1" x14ac:dyDescent="0.5">
      <c r="A20" s="134"/>
      <c r="B20" s="143" t="s">
        <v>135</v>
      </c>
      <c r="C20" s="144"/>
      <c r="D20" s="145"/>
      <c r="E20" s="146"/>
    </row>
    <row r="21" spans="1:5" s="117" customFormat="1" ht="30" customHeight="1" x14ac:dyDescent="0.5">
      <c r="A21" s="138"/>
      <c r="B21" s="148" t="s">
        <v>136</v>
      </c>
      <c r="C21" s="149">
        <v>1275000</v>
      </c>
      <c r="D21" s="149">
        <v>425000</v>
      </c>
      <c r="E21" s="142"/>
    </row>
    <row r="22" spans="1:5" s="121" customFormat="1" ht="30" customHeight="1" x14ac:dyDescent="0.5">
      <c r="A22" s="134"/>
      <c r="B22" s="150" t="s">
        <v>137</v>
      </c>
      <c r="C22" s="149">
        <v>0</v>
      </c>
      <c r="D22" s="151">
        <v>0</v>
      </c>
      <c r="E22" s="142"/>
    </row>
    <row r="23" spans="1:5" s="117" customFormat="1" ht="30" customHeight="1" x14ac:dyDescent="0.5">
      <c r="A23" s="138"/>
      <c r="B23" s="135" t="s">
        <v>138</v>
      </c>
      <c r="C23" s="152">
        <f>SUM(C21:C22)</f>
        <v>1275000</v>
      </c>
      <c r="D23" s="152">
        <f>SUM(D21:D22)</f>
        <v>425000</v>
      </c>
      <c r="E23" s="142"/>
    </row>
    <row r="24" spans="1:5" s="158" customFormat="1" ht="15" customHeight="1" x14ac:dyDescent="0.5">
      <c r="A24" s="153"/>
      <c r="B24" s="154"/>
      <c r="C24" s="155"/>
      <c r="D24" s="156"/>
      <c r="E24" s="157"/>
    </row>
    <row r="25" spans="1:5" s="158" customFormat="1" ht="30" customHeight="1" x14ac:dyDescent="0.5">
      <c r="A25" s="153"/>
      <c r="B25" s="159" t="s">
        <v>139</v>
      </c>
      <c r="C25" s="155"/>
      <c r="D25" s="156"/>
      <c r="E25" s="157"/>
    </row>
    <row r="26" spans="1:5" s="158" customFormat="1" ht="30" customHeight="1" x14ac:dyDescent="0.5">
      <c r="A26" s="153"/>
      <c r="B26" s="160" t="s">
        <v>80</v>
      </c>
      <c r="C26" s="155"/>
      <c r="D26" s="156"/>
      <c r="E26" s="157"/>
    </row>
    <row r="27" spans="1:5" s="117" customFormat="1" ht="30" customHeight="1" x14ac:dyDescent="0.5">
      <c r="A27" s="138"/>
      <c r="B27" s="161" t="s">
        <v>140</v>
      </c>
      <c r="C27" s="140">
        <f>SUM(C24:C26)</f>
        <v>0</v>
      </c>
      <c r="D27" s="140">
        <f>SUM(D24:D26)</f>
        <v>0</v>
      </c>
      <c r="E27" s="142"/>
    </row>
    <row r="28" spans="1:5" s="121" customFormat="1" ht="30" customHeight="1" x14ac:dyDescent="0.5">
      <c r="A28" s="134"/>
      <c r="B28" s="162" t="s">
        <v>141</v>
      </c>
      <c r="C28" s="163">
        <f>C23+C27</f>
        <v>1275000</v>
      </c>
      <c r="D28" s="163">
        <f>D23+D27</f>
        <v>425000</v>
      </c>
      <c r="E28" s="142"/>
    </row>
    <row r="29" spans="1:5" s="158" customFormat="1" ht="27" hidden="1" customHeight="1" x14ac:dyDescent="0.5">
      <c r="A29" s="153"/>
      <c r="B29" s="164" t="s">
        <v>37</v>
      </c>
      <c r="C29" s="165"/>
      <c r="D29" s="166"/>
      <c r="E29" s="167"/>
    </row>
    <row r="30" spans="1:5" s="121" customFormat="1" ht="30" hidden="1" customHeight="1" x14ac:dyDescent="0.5">
      <c r="A30" s="134"/>
      <c r="B30" s="168" t="s">
        <v>142</v>
      </c>
      <c r="C30" s="155"/>
      <c r="D30" s="145"/>
    </row>
    <row r="31" spans="1:5" s="121" customFormat="1" ht="30" hidden="1" customHeight="1" x14ac:dyDescent="0.5">
      <c r="A31" s="134"/>
      <c r="B31" s="169" t="s">
        <v>143</v>
      </c>
      <c r="C31" s="155"/>
      <c r="D31" s="145"/>
    </row>
    <row r="32" spans="1:5" s="121" customFormat="1" ht="30" hidden="1" customHeight="1" x14ac:dyDescent="0.5">
      <c r="A32" s="134"/>
      <c r="B32" s="169" t="s">
        <v>48</v>
      </c>
      <c r="C32" s="155"/>
      <c r="D32" s="145"/>
    </row>
    <row r="33" spans="1:5" s="121" customFormat="1" ht="30" hidden="1" customHeight="1" x14ac:dyDescent="0.5">
      <c r="A33" s="134"/>
      <c r="B33" s="169" t="s">
        <v>144</v>
      </c>
      <c r="C33" s="155"/>
      <c r="D33" s="145"/>
    </row>
    <row r="34" spans="1:5" s="121" customFormat="1" ht="30" hidden="1" customHeight="1" x14ac:dyDescent="0.5">
      <c r="A34" s="134"/>
      <c r="B34" s="169" t="s">
        <v>145</v>
      </c>
      <c r="C34" s="155"/>
      <c r="D34" s="145"/>
    </row>
    <row r="35" spans="1:5" s="121" customFormat="1" ht="30" hidden="1" customHeight="1" x14ac:dyDescent="0.5">
      <c r="A35" s="134"/>
      <c r="B35" s="170" t="s">
        <v>146</v>
      </c>
      <c r="C35" s="155"/>
      <c r="D35" s="145"/>
    </row>
    <row r="36" spans="1:5" s="121" customFormat="1" ht="30" customHeight="1" x14ac:dyDescent="0.5">
      <c r="A36" s="134"/>
      <c r="B36" s="171" t="s">
        <v>147</v>
      </c>
      <c r="C36" s="149">
        <v>1136200</v>
      </c>
      <c r="D36" s="149">
        <v>369700</v>
      </c>
      <c r="E36" s="142"/>
    </row>
    <row r="37" spans="1:5" s="121" customFormat="1" ht="7.9" customHeight="1" x14ac:dyDescent="0.5">
      <c r="A37" s="134"/>
      <c r="B37" s="172"/>
      <c r="C37" s="173"/>
      <c r="D37" s="174"/>
    </row>
    <row r="38" spans="1:5" s="121" customFormat="1" ht="30" customHeight="1" x14ac:dyDescent="0.5">
      <c r="A38" s="134"/>
      <c r="B38" s="162" t="s">
        <v>148</v>
      </c>
      <c r="C38" s="163">
        <f>C28-C36</f>
        <v>138800</v>
      </c>
      <c r="D38" s="163">
        <f>D28-D36</f>
        <v>55300</v>
      </c>
      <c r="E38" s="142"/>
    </row>
    <row r="39" spans="1:5" s="178" customFormat="1" ht="30" customHeight="1" x14ac:dyDescent="0.5">
      <c r="A39" s="175"/>
      <c r="B39" s="176"/>
      <c r="C39" s="177"/>
      <c r="D39" s="174"/>
      <c r="E39" s="142"/>
    </row>
    <row r="40" spans="1:5" s="117" customFormat="1" ht="30" customHeight="1" x14ac:dyDescent="0.5">
      <c r="A40" s="138"/>
      <c r="B40" s="179" t="s">
        <v>149</v>
      </c>
      <c r="C40" s="180"/>
      <c r="D40" s="145"/>
      <c r="E40" s="142"/>
    </row>
    <row r="41" spans="1:5" s="178" customFormat="1" ht="30" customHeight="1" x14ac:dyDescent="0.5">
      <c r="A41" s="175"/>
      <c r="B41" s="176"/>
      <c r="C41" s="177"/>
      <c r="D41" s="174"/>
      <c r="E41" s="142"/>
    </row>
    <row r="42" spans="1:5" s="121" customFormat="1" ht="30" customHeight="1" thickBot="1" x14ac:dyDescent="0.55000000000000004">
      <c r="A42" s="134"/>
      <c r="B42" s="181" t="s">
        <v>150</v>
      </c>
      <c r="C42" s="182">
        <f>C38+C40</f>
        <v>138800</v>
      </c>
      <c r="D42" s="182">
        <f>D38+D40</f>
        <v>55300</v>
      </c>
      <c r="E42" s="142"/>
    </row>
    <row r="43" spans="1:5" s="121" customFormat="1" ht="30" customHeight="1" thickTop="1" x14ac:dyDescent="0.5">
      <c r="A43" s="134"/>
      <c r="B43" s="183"/>
      <c r="C43" s="184"/>
      <c r="D43" s="185"/>
      <c r="E43" s="142"/>
    </row>
    <row r="44" spans="1:5" s="121" customFormat="1" ht="30" customHeight="1" outlineLevel="1" x14ac:dyDescent="0.5">
      <c r="A44" s="134"/>
      <c r="B44" s="186" t="s">
        <v>151</v>
      </c>
      <c r="C44" s="187"/>
      <c r="D44" s="188"/>
      <c r="E44" s="142"/>
    </row>
    <row r="45" spans="1:5" s="117" customFormat="1" ht="30" customHeight="1" outlineLevel="1" x14ac:dyDescent="0.5">
      <c r="A45" s="138"/>
      <c r="B45" s="189" t="s">
        <v>152</v>
      </c>
      <c r="C45" s="190">
        <f t="shared" ref="C45" si="0">C38/C28</f>
        <v>0.10886274509803921</v>
      </c>
      <c r="D45" s="191">
        <f t="shared" ref="D45" si="1">D38/D28</f>
        <v>0.13011764705882353</v>
      </c>
      <c r="E45" s="142"/>
    </row>
    <row r="46" spans="1:5" s="196" customFormat="1" ht="30" customHeight="1" outlineLevel="1" thickBot="1" x14ac:dyDescent="0.55000000000000004">
      <c r="A46" s="192"/>
      <c r="B46" s="193" t="s">
        <v>153</v>
      </c>
      <c r="C46" s="194">
        <f t="shared" ref="C46" si="2">C42/(C28+C40)</f>
        <v>0.10886274509803921</v>
      </c>
      <c r="D46" s="195">
        <f t="shared" ref="D46" si="3">D42/(D28+D40)</f>
        <v>0.13011764705882353</v>
      </c>
    </row>
    <row r="47" spans="1:5" s="121" customFormat="1" ht="30" customHeight="1" x14ac:dyDescent="0.5">
      <c r="A47" s="118"/>
      <c r="B47" s="197"/>
      <c r="C47" s="197"/>
    </row>
    <row r="48" spans="1:5" s="121" customFormat="1" ht="30" customHeight="1" x14ac:dyDescent="0.5">
      <c r="A48" s="118"/>
      <c r="B48" s="197"/>
      <c r="C48" s="197"/>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198" customFormat="1" ht="30" customHeight="1" x14ac:dyDescent="0.25">
      <c r="B54" s="199"/>
      <c r="C54" s="199"/>
      <c r="D54" s="22"/>
      <c r="E54" s="22"/>
    </row>
    <row r="55" spans="2:5" s="198" customFormat="1" ht="30" customHeight="1" x14ac:dyDescent="0.25">
      <c r="B55" s="199"/>
      <c r="C55" s="199"/>
      <c r="D55" s="22"/>
      <c r="E55" s="22"/>
    </row>
    <row r="56" spans="2:5" s="198" customFormat="1" ht="30" customHeight="1" x14ac:dyDescent="0.25">
      <c r="B56" s="199"/>
      <c r="C56" s="199"/>
      <c r="D56" s="22"/>
      <c r="E56" s="22"/>
    </row>
    <row r="57" spans="2:5" s="198" customFormat="1" ht="30" customHeight="1" x14ac:dyDescent="0.25">
      <c r="B57" s="199"/>
      <c r="C57" s="199"/>
      <c r="D57" s="22"/>
      <c r="E57" s="22"/>
    </row>
    <row r="58" spans="2:5" s="198" customFormat="1" ht="30" customHeight="1" x14ac:dyDescent="0.25">
      <c r="B58" s="199"/>
      <c r="C58" s="199"/>
      <c r="D58" s="22"/>
      <c r="E58" s="22"/>
    </row>
    <row r="59" spans="2:5" s="198" customFormat="1" ht="30" customHeight="1" x14ac:dyDescent="0.25">
      <c r="B59" s="199"/>
      <c r="C59" s="199"/>
      <c r="D59" s="22"/>
      <c r="E59" s="22"/>
    </row>
    <row r="60" spans="2:5" s="198" customFormat="1" ht="30" customHeight="1" x14ac:dyDescent="0.25">
      <c r="B60" s="199"/>
      <c r="C60" s="199"/>
      <c r="D60" s="22"/>
      <c r="E60" s="22"/>
    </row>
    <row r="61" spans="2:5" s="198" customFormat="1" ht="30" customHeight="1" x14ac:dyDescent="0.25">
      <c r="B61" s="199"/>
      <c r="C61" s="199"/>
      <c r="D61" s="22"/>
      <c r="E61" s="22"/>
    </row>
    <row r="62" spans="2:5" s="198" customFormat="1" ht="30" customHeight="1" x14ac:dyDescent="0.25">
      <c r="B62" s="199"/>
      <c r="C62" s="199"/>
      <c r="D62" s="22"/>
      <c r="E62" s="22"/>
    </row>
    <row r="63" spans="2:5" s="198" customFormat="1" ht="30" customHeight="1" x14ac:dyDescent="0.25">
      <c r="B63" s="199"/>
      <c r="C63" s="199"/>
      <c r="D63" s="22"/>
      <c r="E63" s="22"/>
    </row>
    <row r="64" spans="2:5" s="198" customFormat="1" ht="30" customHeight="1" x14ac:dyDescent="0.25">
      <c r="B64" s="199"/>
      <c r="C64" s="199"/>
      <c r="D64" s="22"/>
      <c r="E64" s="22"/>
    </row>
    <row r="65" spans="1:5" s="198" customFormat="1" ht="30" customHeight="1" x14ac:dyDescent="0.25">
      <c r="B65" s="199"/>
      <c r="C65" s="199"/>
      <c r="D65" s="22"/>
      <c r="E65" s="22"/>
    </row>
    <row r="66" spans="1:5" s="198" customFormat="1" ht="30" customHeight="1" x14ac:dyDescent="0.25">
      <c r="B66" s="199"/>
      <c r="C66" s="199"/>
      <c r="D66" s="22"/>
      <c r="E66" s="22"/>
    </row>
    <row r="67" spans="1:5" s="198" customFormat="1" ht="30" customHeight="1" x14ac:dyDescent="0.25">
      <c r="B67" s="199"/>
      <c r="C67" s="199"/>
      <c r="D67" s="22"/>
      <c r="E67" s="22"/>
    </row>
    <row r="68" spans="1:5" s="198" customFormat="1" ht="30" customHeight="1" x14ac:dyDescent="0.25">
      <c r="B68" s="199"/>
      <c r="C68" s="199"/>
      <c r="D68" s="22"/>
      <c r="E68" s="22"/>
    </row>
    <row r="69" spans="1:5" s="198" customFormat="1" ht="30" customHeight="1" x14ac:dyDescent="0.25">
      <c r="B69" s="199"/>
      <c r="C69" s="199"/>
      <c r="D69" s="22"/>
      <c r="E69" s="22"/>
    </row>
    <row r="70" spans="1:5" ht="30" customHeight="1" x14ac:dyDescent="0.25"/>
    <row r="71" spans="1:5" ht="30" customHeight="1" x14ac:dyDescent="0.25"/>
    <row r="72" spans="1:5" ht="30" customHeight="1" x14ac:dyDescent="0.25"/>
    <row r="73" spans="1:5" ht="30" customHeight="1" x14ac:dyDescent="0.25"/>
    <row r="79" spans="1:5" s="203" customFormat="1" x14ac:dyDescent="0.25">
      <c r="A79" s="200"/>
      <c r="B79" s="201" t="s">
        <v>154</v>
      </c>
      <c r="C79" s="201"/>
      <c r="D79" s="202"/>
    </row>
    <row r="80" spans="1:5" x14ac:dyDescent="0.25">
      <c r="B80" s="204"/>
      <c r="C80" s="204"/>
      <c r="D80" s="203"/>
    </row>
  </sheetData>
  <mergeCells count="5">
    <mergeCell ref="B7:D7"/>
    <mergeCell ref="B10:D10"/>
    <mergeCell ref="B3:D3"/>
    <mergeCell ref="B2:D2"/>
    <mergeCell ref="B4:D4"/>
  </mergeCells>
  <pageMargins left="0.45" right="0.45" top="0.25" bottom="0.5" header="0.3" footer="0.3"/>
  <pageSetup scale="55"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B1:F16"/>
  <sheetViews>
    <sheetView showGridLines="0" workbookViewId="0">
      <selection activeCell="D11" sqref="D11"/>
    </sheetView>
  </sheetViews>
  <sheetFormatPr defaultColWidth="8.85546875" defaultRowHeight="15" x14ac:dyDescent="0.25"/>
  <cols>
    <col min="1" max="1" width="8.85546875" style="1"/>
    <col min="2" max="2" width="32.28515625" style="42" customWidth="1"/>
    <col min="3" max="4" width="22.28515625" style="42" customWidth="1"/>
    <col min="5" max="5" width="17.5703125" style="42" customWidth="1"/>
    <col min="6" max="6" width="19.5703125" style="42" customWidth="1"/>
    <col min="7" max="16384" width="8.85546875" style="1"/>
  </cols>
  <sheetData>
    <row r="1" spans="2:6" s="109" customFormat="1" x14ac:dyDescent="0.25">
      <c r="B1" s="110"/>
      <c r="C1" s="110"/>
      <c r="D1" s="110"/>
      <c r="E1" s="110"/>
      <c r="F1" s="110"/>
    </row>
    <row r="2" spans="2:6" ht="15.75" x14ac:dyDescent="0.25">
      <c r="B2" s="412" t="s">
        <v>155</v>
      </c>
      <c r="C2" s="412"/>
      <c r="D2" s="412"/>
      <c r="E2" s="412"/>
      <c r="F2" s="412"/>
    </row>
    <row r="3" spans="2:6" ht="18.75" x14ac:dyDescent="0.3">
      <c r="B3" s="413" t="s">
        <v>2</v>
      </c>
      <c r="C3" s="414"/>
      <c r="D3" s="414"/>
      <c r="E3" s="414"/>
      <c r="F3" s="415"/>
    </row>
    <row r="4" spans="2:6" ht="18.75" x14ac:dyDescent="0.3">
      <c r="B4" s="386" t="s">
        <v>156</v>
      </c>
      <c r="C4" s="387"/>
      <c r="D4" s="387"/>
      <c r="E4" s="387"/>
      <c r="F4" s="388"/>
    </row>
    <row r="5" spans="2:6" ht="15.75" x14ac:dyDescent="0.25">
      <c r="B5" s="31"/>
      <c r="C5" s="31"/>
      <c r="D5" s="31"/>
      <c r="E5" s="31"/>
      <c r="F5" s="31"/>
    </row>
    <row r="6" spans="2:6" ht="28.5" customHeight="1" x14ac:dyDescent="0.25">
      <c r="B6" s="411" t="s">
        <v>157</v>
      </c>
      <c r="C6" s="411"/>
      <c r="D6" s="411"/>
      <c r="E6" s="411"/>
      <c r="F6" s="411"/>
    </row>
    <row r="7" spans="2:6" ht="15.75" x14ac:dyDescent="0.25">
      <c r="B7" s="31"/>
      <c r="C7" s="31"/>
      <c r="D7" s="31"/>
      <c r="E7" s="31"/>
      <c r="F7" s="31"/>
    </row>
    <row r="8" spans="2:6" ht="48" customHeight="1" x14ac:dyDescent="0.25">
      <c r="B8" s="32" t="s">
        <v>158</v>
      </c>
      <c r="C8" s="33" t="s">
        <v>159</v>
      </c>
      <c r="D8" s="33" t="s">
        <v>160</v>
      </c>
      <c r="E8" s="33" t="s">
        <v>161</v>
      </c>
      <c r="F8" s="34" t="s">
        <v>162</v>
      </c>
    </row>
    <row r="9" spans="2:6" ht="25.5" customHeight="1" x14ac:dyDescent="0.25">
      <c r="B9" s="35"/>
      <c r="C9" s="36" t="s">
        <v>163</v>
      </c>
      <c r="D9" s="36" t="s">
        <v>164</v>
      </c>
      <c r="E9" s="36" t="s">
        <v>164</v>
      </c>
      <c r="F9" s="37" t="s">
        <v>165</v>
      </c>
    </row>
    <row r="10" spans="2:6" ht="24" customHeight="1" x14ac:dyDescent="0.25">
      <c r="B10" s="38" t="s">
        <v>166</v>
      </c>
      <c r="C10" s="39" t="s">
        <v>262</v>
      </c>
      <c r="D10" s="334">
        <f>6476+1402</f>
        <v>7878</v>
      </c>
      <c r="E10" s="291">
        <f>ROUND(9027154.6602/12,-2)</f>
        <v>752300</v>
      </c>
      <c r="F10" s="292">
        <f>-812500</f>
        <v>-812500</v>
      </c>
    </row>
    <row r="11" spans="2:6" ht="15.75" x14ac:dyDescent="0.25">
      <c r="B11" s="38" t="s">
        <v>167</v>
      </c>
      <c r="C11" s="39" t="s">
        <v>263</v>
      </c>
      <c r="D11" s="39"/>
      <c r="E11" s="39"/>
      <c r="F11" s="40"/>
    </row>
    <row r="12" spans="2:6" ht="15.75" x14ac:dyDescent="0.25">
      <c r="B12" s="38" t="s">
        <v>240</v>
      </c>
      <c r="C12" s="39" t="s">
        <v>262</v>
      </c>
      <c r="D12" s="291">
        <f>1055+445+818+2194</f>
        <v>4512</v>
      </c>
      <c r="E12" s="39">
        <v>0</v>
      </c>
      <c r="F12" s="40"/>
    </row>
    <row r="13" spans="2:6" ht="15.75" x14ac:dyDescent="0.25">
      <c r="B13" s="38" t="s">
        <v>168</v>
      </c>
      <c r="C13" s="39"/>
      <c r="D13" s="39"/>
      <c r="E13" s="39"/>
      <c r="F13" s="40"/>
    </row>
    <row r="14" spans="2:6" ht="15.75" x14ac:dyDescent="0.25">
      <c r="B14" s="38" t="s">
        <v>169</v>
      </c>
      <c r="C14" s="41"/>
      <c r="D14" s="39"/>
      <c r="E14" s="39"/>
      <c r="F14" s="40"/>
    </row>
    <row r="15" spans="2:6" ht="15.75" x14ac:dyDescent="0.25">
      <c r="B15" s="31"/>
    </row>
    <row r="16" spans="2:6" ht="15.75" x14ac:dyDescent="0.25">
      <c r="B16" s="43"/>
      <c r="E16" s="44"/>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B2:K24"/>
  <sheetViews>
    <sheetView showGridLines="0" zoomScale="94" zoomScaleNormal="100" zoomScaleSheetLayoutView="55" workbookViewId="0">
      <selection activeCell="D33" sqref="D33"/>
    </sheetView>
  </sheetViews>
  <sheetFormatPr defaultColWidth="9.140625" defaultRowHeight="15" customHeight="1" x14ac:dyDescent="0.25"/>
  <cols>
    <col min="1" max="1" width="3.5703125" style="107" customWidth="1"/>
    <col min="2" max="2" width="32.5703125" style="107" customWidth="1"/>
    <col min="3" max="3" width="18.42578125" style="107" customWidth="1"/>
    <col min="4" max="8" width="22.7109375" style="107" customWidth="1"/>
    <col min="9" max="9" width="21.140625" style="107" customWidth="1"/>
    <col min="10" max="11" width="22.7109375" style="107" customWidth="1"/>
    <col min="12" max="16384" width="9.140625" style="107"/>
  </cols>
  <sheetData>
    <row r="2" spans="2:11" s="1" customFormat="1" ht="15.75" x14ac:dyDescent="0.25">
      <c r="B2" s="412" t="s">
        <v>170</v>
      </c>
      <c r="C2" s="412"/>
      <c r="D2" s="412"/>
      <c r="E2" s="412"/>
      <c r="F2" s="412"/>
      <c r="G2" s="412"/>
      <c r="H2" s="412"/>
      <c r="I2" s="412"/>
      <c r="J2" s="412"/>
      <c r="K2" s="412"/>
    </row>
    <row r="3" spans="2:11" s="1" customFormat="1" ht="18.75" x14ac:dyDescent="0.3">
      <c r="B3" s="413" t="s">
        <v>171</v>
      </c>
      <c r="C3" s="414"/>
      <c r="D3" s="414"/>
      <c r="E3" s="414"/>
      <c r="F3" s="414"/>
      <c r="G3" s="414"/>
      <c r="H3" s="414"/>
      <c r="I3" s="414"/>
      <c r="J3" s="414"/>
      <c r="K3" s="415"/>
    </row>
    <row r="4" spans="2:11" s="1" customFormat="1" ht="18.75" x14ac:dyDescent="0.3">
      <c r="B4" s="386" t="s">
        <v>172</v>
      </c>
      <c r="C4" s="387"/>
      <c r="D4" s="387"/>
      <c r="E4" s="387"/>
      <c r="F4" s="387"/>
      <c r="G4" s="387"/>
      <c r="H4" s="387"/>
      <c r="I4" s="387"/>
      <c r="J4" s="387"/>
      <c r="K4" s="388"/>
    </row>
    <row r="5" spans="2:11" s="109" customFormat="1" ht="18.75" x14ac:dyDescent="0.3">
      <c r="B5" s="254"/>
      <c r="C5" s="254"/>
      <c r="D5" s="254"/>
      <c r="E5" s="254"/>
      <c r="F5" s="254"/>
      <c r="G5" s="254"/>
      <c r="H5" s="254"/>
      <c r="I5" s="254"/>
      <c r="J5" s="254"/>
      <c r="K5" s="254"/>
    </row>
    <row r="6" spans="2:11" s="109" customFormat="1" ht="18.75" customHeight="1" x14ac:dyDescent="0.25">
      <c r="B6" s="418" t="s">
        <v>247</v>
      </c>
      <c r="C6" s="418"/>
      <c r="D6" s="418"/>
      <c r="E6" s="418"/>
      <c r="F6" s="418"/>
      <c r="G6" s="418"/>
      <c r="H6" s="418"/>
      <c r="I6" s="418"/>
      <c r="J6" s="418"/>
      <c r="K6" s="418"/>
    </row>
    <row r="7" spans="2:11" s="109" customFormat="1" ht="18.75" customHeight="1" x14ac:dyDescent="0.25">
      <c r="B7" s="418"/>
      <c r="C7" s="418"/>
      <c r="D7" s="418"/>
      <c r="E7" s="418"/>
      <c r="F7" s="418"/>
      <c r="G7" s="418"/>
      <c r="H7" s="418"/>
      <c r="I7" s="418"/>
      <c r="J7" s="418"/>
      <c r="K7" s="418"/>
    </row>
    <row r="8" spans="2:11" s="109" customFormat="1" ht="18.75" x14ac:dyDescent="0.3">
      <c r="B8" s="108"/>
      <c r="C8" s="108"/>
      <c r="D8" s="108"/>
      <c r="E8" s="108"/>
      <c r="F8" s="108"/>
      <c r="G8" s="108"/>
      <c r="H8" s="108"/>
    </row>
    <row r="9" spans="2:11" s="259" customFormat="1" x14ac:dyDescent="0.25">
      <c r="B9" s="260"/>
      <c r="D9" s="260"/>
      <c r="E9" s="260"/>
      <c r="F9" s="260"/>
      <c r="G9" s="260"/>
      <c r="H9" s="260"/>
      <c r="I9" s="261"/>
      <c r="J9" s="261"/>
      <c r="K9" s="261"/>
    </row>
    <row r="10" spans="2:11" s="253" customFormat="1" ht="15" customHeight="1" x14ac:dyDescent="0.25">
      <c r="B10" s="416" t="s">
        <v>173</v>
      </c>
      <c r="C10" s="272" t="s">
        <v>174</v>
      </c>
      <c r="D10" s="267" t="s">
        <v>174</v>
      </c>
      <c r="E10" s="268" t="s">
        <v>175</v>
      </c>
      <c r="F10" s="269" t="s">
        <v>176</v>
      </c>
      <c r="G10" s="267" t="s">
        <v>174</v>
      </c>
      <c r="H10" s="268" t="s">
        <v>175</v>
      </c>
      <c r="I10" s="269" t="s">
        <v>176</v>
      </c>
      <c r="J10" s="268" t="s">
        <v>175</v>
      </c>
      <c r="K10" s="269" t="s">
        <v>176</v>
      </c>
    </row>
    <row r="11" spans="2:11" s="253" customFormat="1" ht="15" customHeight="1" x14ac:dyDescent="0.25">
      <c r="B11" s="417"/>
      <c r="C11" s="271" t="s">
        <v>218</v>
      </c>
      <c r="D11" s="419" t="s">
        <v>177</v>
      </c>
      <c r="E11" s="420"/>
      <c r="F11" s="421"/>
      <c r="G11" s="419" t="s">
        <v>178</v>
      </c>
      <c r="H11" s="420"/>
      <c r="I11" s="421"/>
      <c r="J11" s="420" t="s">
        <v>179</v>
      </c>
      <c r="K11" s="421"/>
    </row>
    <row r="12" spans="2:11" ht="15" customHeight="1" x14ac:dyDescent="0.25">
      <c r="B12" s="262" t="s">
        <v>180</v>
      </c>
      <c r="C12" s="270">
        <f>+D12+G12</f>
        <v>6607200</v>
      </c>
      <c r="D12" s="317">
        <f>1761100+4846100</f>
        <v>6607200</v>
      </c>
      <c r="E12" s="318">
        <v>1000000</v>
      </c>
      <c r="F12" s="319">
        <f>+D12-E12</f>
        <v>5607200</v>
      </c>
      <c r="G12" s="317"/>
      <c r="H12" s="318">
        <v>1160100</v>
      </c>
      <c r="I12" s="319">
        <f>+F12-H12</f>
        <v>4447100</v>
      </c>
      <c r="J12" s="318"/>
      <c r="K12" s="319">
        <f>+I12</f>
        <v>4447100</v>
      </c>
    </row>
    <row r="13" spans="2:11" ht="15" customHeight="1" x14ac:dyDescent="0.25">
      <c r="B13" s="262" t="s">
        <v>181</v>
      </c>
      <c r="C13" s="270">
        <f>+D13+G13</f>
        <v>13725500</v>
      </c>
      <c r="D13" s="317">
        <v>13725500</v>
      </c>
      <c r="E13" s="318"/>
      <c r="F13" s="320">
        <v>13725500</v>
      </c>
      <c r="G13" s="317">
        <v>0</v>
      </c>
      <c r="H13" s="321">
        <v>0</v>
      </c>
      <c r="I13" s="320">
        <v>10809222</v>
      </c>
      <c r="J13" s="321">
        <v>0</v>
      </c>
      <c r="K13" s="320">
        <v>0</v>
      </c>
    </row>
    <row r="14" spans="2:11" ht="15" customHeight="1" x14ac:dyDescent="0.25">
      <c r="B14" s="262" t="s">
        <v>182</v>
      </c>
      <c r="C14" s="270">
        <f t="shared" ref="C14:C22" si="0">+D14+G14</f>
        <v>500000</v>
      </c>
      <c r="D14" s="317">
        <v>500000</v>
      </c>
      <c r="E14" s="318">
        <v>0</v>
      </c>
      <c r="F14" s="320">
        <v>500000</v>
      </c>
      <c r="G14" s="317"/>
      <c r="H14" s="318"/>
      <c r="I14" s="320">
        <v>0</v>
      </c>
      <c r="J14" s="318"/>
      <c r="K14" s="320">
        <v>0</v>
      </c>
    </row>
    <row r="15" spans="2:11" ht="15" customHeight="1" x14ac:dyDescent="0.25">
      <c r="B15" s="262" t="s">
        <v>183</v>
      </c>
      <c r="C15" s="270">
        <f t="shared" si="0"/>
        <v>0</v>
      </c>
      <c r="D15" s="317"/>
      <c r="E15" s="318"/>
      <c r="F15" s="320"/>
      <c r="G15" s="317"/>
      <c r="H15" s="318"/>
      <c r="I15" s="320"/>
      <c r="J15" s="318"/>
      <c r="K15" s="320"/>
    </row>
    <row r="16" spans="2:11" ht="15" customHeight="1" x14ac:dyDescent="0.25">
      <c r="B16" s="262" t="s">
        <v>184</v>
      </c>
      <c r="C16" s="270">
        <f t="shared" si="0"/>
        <v>871319</v>
      </c>
      <c r="D16" s="326">
        <f>556930-10000+324389</f>
        <v>871319</v>
      </c>
      <c r="E16" s="293">
        <f>877319*0.9</f>
        <v>789587.1</v>
      </c>
      <c r="F16" s="319">
        <f>D16-E16</f>
        <v>81731.900000000023</v>
      </c>
      <c r="G16" s="317"/>
      <c r="H16" s="318"/>
      <c r="I16" s="320"/>
      <c r="J16" s="318"/>
      <c r="K16" s="320"/>
    </row>
    <row r="17" spans="2:11" ht="15" customHeight="1" x14ac:dyDescent="0.25">
      <c r="B17" s="262" t="s">
        <v>185</v>
      </c>
      <c r="C17" s="270">
        <f t="shared" si="0"/>
        <v>376000</v>
      </c>
      <c r="D17" s="317">
        <v>376000</v>
      </c>
      <c r="E17" s="318">
        <v>0</v>
      </c>
      <c r="F17" s="320">
        <v>376000</v>
      </c>
      <c r="G17" s="317"/>
      <c r="H17" s="318"/>
      <c r="I17" s="320">
        <v>0</v>
      </c>
      <c r="J17" s="318"/>
      <c r="K17" s="320">
        <v>0</v>
      </c>
    </row>
    <row r="18" spans="2:11" ht="15" customHeight="1" x14ac:dyDescent="0.25">
      <c r="B18" s="262" t="s">
        <v>186</v>
      </c>
      <c r="C18" s="270">
        <f t="shared" si="0"/>
        <v>0</v>
      </c>
      <c r="D18" s="317"/>
      <c r="E18" s="318"/>
      <c r="F18" s="320"/>
      <c r="G18" s="317"/>
      <c r="H18" s="318"/>
      <c r="I18" s="320"/>
      <c r="J18" s="318"/>
      <c r="K18" s="320"/>
    </row>
    <row r="19" spans="2:11" ht="15" customHeight="1" x14ac:dyDescent="0.25">
      <c r="B19" s="262" t="s">
        <v>187</v>
      </c>
      <c r="C19" s="270">
        <f t="shared" si="0"/>
        <v>0</v>
      </c>
      <c r="D19" s="317"/>
      <c r="E19" s="318"/>
      <c r="F19" s="320"/>
      <c r="G19" s="317"/>
      <c r="H19" s="318"/>
      <c r="I19" s="320"/>
      <c r="J19" s="318"/>
      <c r="K19" s="320"/>
    </row>
    <row r="20" spans="2:11" ht="15" customHeight="1" x14ac:dyDescent="0.25">
      <c r="B20" s="262" t="s">
        <v>219</v>
      </c>
      <c r="C20" s="270">
        <f t="shared" si="0"/>
        <v>0</v>
      </c>
      <c r="D20" s="317"/>
      <c r="E20" s="318"/>
      <c r="F20" s="320"/>
      <c r="G20" s="317"/>
      <c r="H20" s="318"/>
      <c r="I20" s="320"/>
      <c r="J20" s="318"/>
      <c r="K20" s="320"/>
    </row>
    <row r="21" spans="2:11" ht="15" customHeight="1" x14ac:dyDescent="0.25">
      <c r="B21" s="262" t="s">
        <v>188</v>
      </c>
      <c r="C21" s="270">
        <f t="shared" si="0"/>
        <v>0</v>
      </c>
      <c r="D21" s="317"/>
      <c r="E21" s="318"/>
      <c r="F21" s="320"/>
      <c r="G21" s="317"/>
      <c r="H21" s="318"/>
      <c r="I21" s="320"/>
      <c r="J21" s="318"/>
      <c r="K21" s="320"/>
    </row>
    <row r="22" spans="2:11" ht="15" customHeight="1" x14ac:dyDescent="0.25">
      <c r="B22" s="263" t="s">
        <v>188</v>
      </c>
      <c r="C22" s="270">
        <f t="shared" si="0"/>
        <v>0</v>
      </c>
      <c r="D22" s="264"/>
      <c r="E22" s="264"/>
      <c r="F22" s="265"/>
      <c r="G22" s="264"/>
      <c r="H22" s="264"/>
      <c r="I22" s="265"/>
      <c r="J22" s="264"/>
      <c r="K22" s="265"/>
    </row>
    <row r="23" spans="2:11" ht="15" customHeight="1" thickBot="1" x14ac:dyDescent="0.3">
      <c r="B23" s="266" t="s">
        <v>189</v>
      </c>
      <c r="C23" s="322">
        <f>SUM(C12:C22)</f>
        <v>22080019</v>
      </c>
      <c r="D23" s="323">
        <f t="shared" ref="D23:F23" si="1">SUM(D12:D22)</f>
        <v>22080019</v>
      </c>
      <c r="E23" s="324">
        <f t="shared" si="1"/>
        <v>1789587.1</v>
      </c>
      <c r="F23" s="325">
        <f t="shared" si="1"/>
        <v>20290431.899999999</v>
      </c>
      <c r="G23" s="323">
        <f t="shared" ref="G23" si="2">SUM(G12:G22)</f>
        <v>0</v>
      </c>
      <c r="H23" s="324">
        <f t="shared" ref="H23" si="3">SUM(H12:H22)</f>
        <v>1160100</v>
      </c>
      <c r="I23" s="325">
        <f t="shared" ref="I23" si="4">SUM(I12:I22)</f>
        <v>15256322</v>
      </c>
      <c r="J23" s="324">
        <f t="shared" ref="J23" si="5">SUM(J12:J22)</f>
        <v>0</v>
      </c>
      <c r="K23" s="325">
        <f t="shared" ref="K23" si="6">SUM(K12:K22)</f>
        <v>4447100</v>
      </c>
    </row>
    <row r="24" spans="2:11" ht="15" customHeight="1" thickTop="1" x14ac:dyDescent="0.25"/>
  </sheetData>
  <mergeCells count="8">
    <mergeCell ref="B4:K4"/>
    <mergeCell ref="B3:K3"/>
    <mergeCell ref="B2:K2"/>
    <mergeCell ref="B10:B11"/>
    <mergeCell ref="B6:K7"/>
    <mergeCell ref="D11:F11"/>
    <mergeCell ref="G11:I11"/>
    <mergeCell ref="J11:K11"/>
  </mergeCells>
  <pageMargins left="0.7" right="0.7" top="0.75" bottom="0.75" header="0.3" footer="0.3"/>
  <pageSetup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2:B15"/>
  <sheetViews>
    <sheetView zoomScale="110" zoomScaleNormal="110" workbookViewId="0">
      <selection activeCell="H10" sqref="H10"/>
    </sheetView>
  </sheetViews>
  <sheetFormatPr defaultRowHeight="15" x14ac:dyDescent="0.25"/>
  <cols>
    <col min="1" max="1" width="42.7109375" style="68" customWidth="1"/>
    <col min="2" max="2" width="13.85546875" style="68" customWidth="1"/>
  </cols>
  <sheetData>
    <row r="2" spans="1:2" x14ac:dyDescent="0.25">
      <c r="A2" s="422" t="s">
        <v>190</v>
      </c>
      <c r="B2" s="422"/>
    </row>
    <row r="3" spans="1:2" ht="15.75" x14ac:dyDescent="0.25">
      <c r="A3" s="423" t="s">
        <v>191</v>
      </c>
      <c r="B3" s="423"/>
    </row>
    <row r="4" spans="1:2" ht="24.6" customHeight="1" x14ac:dyDescent="0.25">
      <c r="A4" s="424" t="s">
        <v>192</v>
      </c>
      <c r="B4" s="424"/>
    </row>
    <row r="5" spans="1:2" x14ac:dyDescent="0.25">
      <c r="A5" s="69" t="s">
        <v>193</v>
      </c>
      <c r="B5" s="70" t="e">
        <f>'1. Reconciliation'!#REF!</f>
        <v>#REF!</v>
      </c>
    </row>
    <row r="6" spans="1:2" x14ac:dyDescent="0.25">
      <c r="A6" s="69" t="s">
        <v>194</v>
      </c>
      <c r="B6" s="71" t="e">
        <f>'1. Reconciliation'!#REF!</f>
        <v>#REF!</v>
      </c>
    </row>
    <row r="7" spans="1:2" x14ac:dyDescent="0.25">
      <c r="A7" s="69" t="s">
        <v>195</v>
      </c>
      <c r="B7" s="71" t="e">
        <f>'1. Reconciliation'!#REF!</f>
        <v>#REF!</v>
      </c>
    </row>
    <row r="8" spans="1:2" x14ac:dyDescent="0.25">
      <c r="A8" s="72"/>
      <c r="B8" s="73"/>
    </row>
    <row r="9" spans="1:2" x14ac:dyDescent="0.25">
      <c r="A9" s="74" t="s">
        <v>196</v>
      </c>
      <c r="B9" s="75"/>
    </row>
    <row r="10" spans="1:2" ht="39.6" customHeight="1" x14ac:dyDescent="0.25">
      <c r="A10" s="69" t="s">
        <v>23</v>
      </c>
      <c r="B10" s="76" t="e">
        <f>'1. Reconciliation'!#REF!</f>
        <v>#REF!</v>
      </c>
    </row>
    <row r="11" spans="1:2" x14ac:dyDescent="0.25">
      <c r="A11" s="69" t="s">
        <v>24</v>
      </c>
      <c r="B11" s="76" t="e">
        <f>'1. Reconciliation'!#REF!</f>
        <v>#REF!</v>
      </c>
    </row>
    <row r="12" spans="1:2" x14ac:dyDescent="0.25">
      <c r="A12" s="69" t="s">
        <v>25</v>
      </c>
      <c r="B12" s="76" t="e">
        <f>'1. Reconciliation'!#REF!</f>
        <v>#REF!</v>
      </c>
    </row>
    <row r="13" spans="1:2" x14ac:dyDescent="0.25">
      <c r="A13" s="69" t="s">
        <v>26</v>
      </c>
      <c r="B13" s="76" t="e">
        <f>'1. Reconciliation'!#REF!</f>
        <v>#REF!</v>
      </c>
    </row>
    <row r="14" spans="1:2" ht="44.45" customHeight="1" x14ac:dyDescent="0.25">
      <c r="A14" s="69" t="s">
        <v>27</v>
      </c>
      <c r="B14" s="76" t="e">
        <f>'1. Reconciliation'!#REF!</f>
        <v>#REF!</v>
      </c>
    </row>
    <row r="15" spans="1:2" x14ac:dyDescent="0.25">
      <c r="A15" s="77" t="s">
        <v>197</v>
      </c>
      <c r="B15" s="78" t="e">
        <f>SUM(B10:B14)</f>
        <v>#REF!</v>
      </c>
    </row>
  </sheetData>
  <mergeCells count="3">
    <mergeCell ref="A2:B2"/>
    <mergeCell ref="A3:B3"/>
    <mergeCell ref="A4:B4"/>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8dbc17e-cec9-4211-a89f-0bf74a616302"/>
    <ds:schemaRef ds:uri="2819d22d-c924-42b3-954a-d3b43813cc6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Rooney, Patrick</cp:lastModifiedBy>
  <cp:revision/>
  <cp:lastPrinted>2021-07-02T15:39:52Z</cp:lastPrinted>
  <dcterms:created xsi:type="dcterms:W3CDTF">2020-01-09T18:52:12Z</dcterms:created>
  <dcterms:modified xsi:type="dcterms:W3CDTF">2021-07-15T18:07:51Z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