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2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75A8CA3A-517C-4B8D-A1A4-9EF19E70DAF8}" xr6:coauthVersionLast="47" xr6:coauthVersionMax="47" xr10:uidLastSave="{00000000-0000-0000-0000-000000000000}"/>
  <bookViews>
    <workbookView xWindow="9030" yWindow="1365" windowWidth="14430" windowHeight="15600" activeTab="1" xr2:uid="{EDA287F5-79D0-4FF5-98F1-6BE045AC2F7D}"/>
  </bookViews>
  <sheets>
    <sheet name="Overview" sheetId="1" r:id="rId1"/>
    <sheet name="1. Reconciliation" sheetId="2" r:id="rId2"/>
    <sheet name="2. Charge and NPR Detail" sheetId="3" r:id="rId3"/>
    <sheet name="3. Utilization" sheetId="4" r:id="rId4"/>
    <sheet name="4. Inflation" sheetId="5" r:id="rId5"/>
    <sheet name="5. Vaccine Clinics and Testing" sheetId="6" r:id="rId6"/>
    <sheet name="6. Value Based Care Participati" sheetId="7" r:id="rId7"/>
    <sheet name="7. COVID-19 Advances, Relief Fu" sheetId="8" r:id="rId8"/>
    <sheet name="Edit of Request Summary" sheetId="9" r:id="rId9"/>
    <sheet name="Non-Financial- Reimb. Ratio" sheetId="1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Reconciliation'!$B$6:$O$117</definedName>
    <definedName name="_xlnm.Print_Area" localSheetId="2">'2. Charge and NPR Detail'!$A$2:$H$49</definedName>
    <definedName name="_xlnm.Print_Area" localSheetId="3">'3. Utilization'!$B$1:$D$17</definedName>
    <definedName name="_xlnm.Print_Area" localSheetId="4">'4. Inflation'!$B$1:$D$27</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 name="Z_370A90FE_A320_447B_8995_A714325CBEA5_.wvu.PrintArea" localSheetId="1" hidden="1">'1. Reconciliation'!$B$6:$O$117</definedName>
    <definedName name="Z_370A90FE_A320_447B_8995_A714325CBEA5_.wvu.PrintArea" localSheetId="2" hidden="1">'2. Charge and NPR Detail'!$A$2:$H$49</definedName>
    <definedName name="Z_370A90FE_A320_447B_8995_A714325CBEA5_.wvu.PrintArea" localSheetId="3" hidden="1">'3. Utilization'!$B$1:$D$17</definedName>
    <definedName name="Z_370A90FE_A320_447B_8995_A714325CBEA5_.wvu.PrintArea" localSheetId="4" hidden="1">'4. Inflation'!$B$1:$D$27</definedName>
    <definedName name="Z_370A90FE_A320_447B_8995_A714325CBEA5_.wvu.PrintArea" localSheetId="5" hidden="1">'5. Vaccine Clinics and Testing'!$B$7:$D$48</definedName>
    <definedName name="Z_370A90FE_A320_447B_8995_A714325CBEA5_.wvu.PrintArea" localSheetId="6" hidden="1">'6. Value Based Care Participati'!$B$2:$F$15</definedName>
    <definedName name="Z_370A90FE_A320_447B_8995_A714325CBEA5_.wvu.PrintArea" localSheetId="0" hidden="1">Overview!$A$1:$B$13</definedName>
    <definedName name="Z_370A90FE_A320_447B_8995_A714325CBEA5_.wvu.PrintTitles" localSheetId="1" hidden="1">'1. Reconciliation'!$2:$4</definedName>
    <definedName name="Z_370A90FE_A320_447B_8995_A714325CBEA5_.wvu.Rows" localSheetId="5" hidden="1">'5. Vaccine Clinics and Testing'!$15:$20,'5. Vaccine Clinics and Testing'!$29:$35</definedName>
    <definedName name="Z_44973865_8AD1_45FA_8A45_05D76FF96A5F_.wvu.PrintArea" localSheetId="1" hidden="1">'1. Reconciliation'!$B$6:$O$117</definedName>
    <definedName name="Z_44973865_8AD1_45FA_8A45_05D76FF96A5F_.wvu.PrintArea" localSheetId="2" hidden="1">'2. Charge and NPR Detail'!$A$2:$H$49</definedName>
    <definedName name="Z_44973865_8AD1_45FA_8A45_05D76FF96A5F_.wvu.PrintArea" localSheetId="3" hidden="1">'3. Utilization'!$B$1:$D$17</definedName>
    <definedName name="Z_44973865_8AD1_45FA_8A45_05D76FF96A5F_.wvu.PrintArea" localSheetId="4" hidden="1">'4. Inflation'!$B$1:$D$27</definedName>
    <definedName name="Z_44973865_8AD1_45FA_8A45_05D76FF96A5F_.wvu.PrintArea" localSheetId="5" hidden="1">'5. Vaccine Clinics and Testing'!$B$7:$D$48</definedName>
    <definedName name="Z_44973865_8AD1_45FA_8A45_05D76FF96A5F_.wvu.PrintArea" localSheetId="6" hidden="1">'6. Value Based Care Participati'!$B$2:$F$15</definedName>
    <definedName name="Z_44973865_8AD1_45FA_8A45_05D76FF96A5F_.wvu.PrintArea" localSheetId="0" hidden="1">Overview!$A$1:$B$13</definedName>
    <definedName name="Z_44973865_8AD1_45FA_8A45_05D76FF96A5F_.wvu.PrintTitles" localSheetId="1" hidden="1">'1. Reconciliation'!$2:$4</definedName>
    <definedName name="Z_44973865_8AD1_45FA_8A45_05D76FF96A5F_.wvu.Rows" localSheetId="5" hidden="1">'5. Vaccine Clinics and Testing'!$15:$20,'5. Vaccine Clinics and Testing'!$29:$35</definedName>
    <definedName name="Z_670863B2_8243_412A_8B8D_30885F188694_.wvu.PrintArea" localSheetId="1" hidden="1">'1. Reconciliation'!$B$6:$O$117</definedName>
    <definedName name="Z_670863B2_8243_412A_8B8D_30885F188694_.wvu.PrintArea" localSheetId="2" hidden="1">'2. Charge and NPR Detail'!$A$2:$H$49</definedName>
    <definedName name="Z_670863B2_8243_412A_8B8D_30885F188694_.wvu.PrintArea" localSheetId="3" hidden="1">'3. Utilization'!$B$1:$D$17</definedName>
    <definedName name="Z_670863B2_8243_412A_8B8D_30885F188694_.wvu.PrintArea" localSheetId="4" hidden="1">'4. Inflation'!$B$1:$D$27</definedName>
    <definedName name="Z_670863B2_8243_412A_8B8D_30885F188694_.wvu.PrintArea" localSheetId="5" hidden="1">'5. Vaccine Clinics and Testing'!$B$7:$D$48</definedName>
    <definedName name="Z_670863B2_8243_412A_8B8D_30885F188694_.wvu.PrintArea" localSheetId="6" hidden="1">'6. Value Based Care Participati'!$B$2:$F$15</definedName>
    <definedName name="Z_670863B2_8243_412A_8B8D_30885F188694_.wvu.PrintArea" localSheetId="0" hidden="1">Overview!$A$1:$B$13</definedName>
    <definedName name="Z_670863B2_8243_412A_8B8D_30885F188694_.wvu.PrintTitles" localSheetId="1" hidden="1">'1. Reconciliation'!$2:$4</definedName>
    <definedName name="Z_670863B2_8243_412A_8B8D_30885F188694_.wvu.Rows" localSheetId="5" hidden="1">'5. Vaccine Clinics and Testing'!$15:$20,'5. Vaccine Clinics and Testing'!$29:$35</definedName>
    <definedName name="Z_7A66AF9E_81E8_451B_9A4F_DFE08BFB5947_.wvu.PrintArea" localSheetId="1" hidden="1">'1. Reconciliation'!$B$6:$O$117</definedName>
    <definedName name="Z_7A66AF9E_81E8_451B_9A4F_DFE08BFB5947_.wvu.PrintArea" localSheetId="2" hidden="1">'2. Charge and NPR Detail'!$A$2:$H$49</definedName>
    <definedName name="Z_7A66AF9E_81E8_451B_9A4F_DFE08BFB5947_.wvu.PrintArea" localSheetId="3" hidden="1">'3. Utilization'!$B$1:$D$17</definedName>
    <definedName name="Z_7A66AF9E_81E8_451B_9A4F_DFE08BFB5947_.wvu.PrintArea" localSheetId="4" hidden="1">'4. Inflation'!$B$1:$D$27</definedName>
    <definedName name="Z_7A66AF9E_81E8_451B_9A4F_DFE08BFB5947_.wvu.PrintArea" localSheetId="5" hidden="1">'5. Vaccine Clinics and Testing'!$B$7:$D$48</definedName>
    <definedName name="Z_7A66AF9E_81E8_451B_9A4F_DFE08BFB5947_.wvu.PrintArea" localSheetId="6" hidden="1">'6. Value Based Care Participati'!$B$2:$F$15</definedName>
    <definedName name="Z_7A66AF9E_81E8_451B_9A4F_DFE08BFB5947_.wvu.PrintArea" localSheetId="0" hidden="1">Overview!$A$1:$B$13</definedName>
    <definedName name="Z_7A66AF9E_81E8_451B_9A4F_DFE08BFB5947_.wvu.PrintTitles" localSheetId="1" hidden="1">'1. Reconciliation'!$2:$4</definedName>
    <definedName name="Z_7A66AF9E_81E8_451B_9A4F_DFE08BFB5947_.wvu.Rows" localSheetId="5" hidden="1">'5. Vaccine Clinics and Testing'!$15:$20,'5. Vaccine Clinics and Testing'!$29:$35</definedName>
    <definedName name="Z_7E96D643_834B_40CD_8E58_19C1F2E2A6F1_.wvu.PrintArea" localSheetId="1" hidden="1">'1. Reconciliation'!$B$6:$O$117</definedName>
    <definedName name="Z_7E96D643_834B_40CD_8E58_19C1F2E2A6F1_.wvu.PrintArea" localSheetId="2" hidden="1">'2. Charge and NPR Detail'!$A$2:$H$49</definedName>
    <definedName name="Z_7E96D643_834B_40CD_8E58_19C1F2E2A6F1_.wvu.PrintArea" localSheetId="3" hidden="1">'3. Utilization'!$B$1:$D$17</definedName>
    <definedName name="Z_7E96D643_834B_40CD_8E58_19C1F2E2A6F1_.wvu.PrintArea" localSheetId="4" hidden="1">'4. Inflation'!$B$1:$D$27</definedName>
    <definedName name="Z_7E96D643_834B_40CD_8E58_19C1F2E2A6F1_.wvu.PrintArea" localSheetId="5" hidden="1">'5. Vaccine Clinics and Testing'!$B$7:$D$48</definedName>
    <definedName name="Z_7E96D643_834B_40CD_8E58_19C1F2E2A6F1_.wvu.PrintArea" localSheetId="6" hidden="1">'6. Value Based Care Participati'!$B$2:$F$15</definedName>
    <definedName name="Z_7E96D643_834B_40CD_8E58_19C1F2E2A6F1_.wvu.PrintArea" localSheetId="0" hidden="1">Overview!$A$1:$B$13</definedName>
    <definedName name="Z_7E96D643_834B_40CD_8E58_19C1F2E2A6F1_.wvu.PrintTitles" localSheetId="1" hidden="1">'1. Reconciliation'!$2:$4</definedName>
    <definedName name="Z_7E96D643_834B_40CD_8E58_19C1F2E2A6F1_.wvu.Rows" localSheetId="5" hidden="1">'5. Vaccine Clinics and Testing'!$15:$20,'5. Vaccine Clinics and Testing'!$29:$35</definedName>
  </definedNames>
  <calcPr calcId="191028"/>
  <customWorkbookViews>
    <customWorkbookView name="Perry, Lori - Personal View" guid="{44973865-8AD1-45FA-8A45-05D76FF96A5F}" mergeInterval="0" personalView="1" xWindow="602" yWindow="91" windowWidth="962" windowHeight="1040" activeSheetId="2"/>
    <customWorkbookView name="Tracey Paul - Personal View" guid="{7A66AF9E-81E8-451B-9A4F-DFE08BFB5947}" mergeInterval="0" personalView="1" maximized="1" xWindow="-8" yWindow="-8" windowWidth="1936" windowHeight="1056" activeSheetId="9"/>
    <customWorkbookView name="Patty Irish - Personal View" guid="{670863B2-8243-412A-8B8D-30885F188694}" mergeInterval="0" personalView="1" maximized="1" xWindow="1912" yWindow="-8" windowWidth="1936" windowHeight="1176" activeSheetId="1"/>
    <customWorkbookView name="Rooney, Patrick - Personal View" guid="{7E96D643-834B-40CD-8E58-19C1F2E2A6F1}" mergeInterval="0" personalView="1" maximized="1" xWindow="1911" yWindow="72" windowWidth="1938" windowHeight="1048" activeSheetId="2" showComments="commIndAndComment"/>
    <customWorkbookView name="Anita Flagg - Personal View" guid="{370A90FE-A320-447B-8995-A714325CBEA5}" mergeInterval="0" personalView="1" maximized="1" xWindow="-8" yWindow="-8" windowWidth="1936" windowHeight="11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3" l="1"/>
  <c r="F33" i="3"/>
  <c r="F32" i="3"/>
  <c r="E34" i="3"/>
  <c r="E33" i="3"/>
  <c r="E32" i="3"/>
  <c r="C34" i="3"/>
  <c r="C33" i="3"/>
  <c r="C32" i="3"/>
  <c r="C113" i="2" l="1"/>
  <c r="D18" i="4"/>
  <c r="D39" i="2" l="1"/>
  <c r="D54" i="2"/>
  <c r="C54" i="2"/>
  <c r="D23" i="5"/>
  <c r="D25" i="3" l="1"/>
  <c r="D11" i="5" l="1"/>
  <c r="D9" i="5"/>
  <c r="D8" i="5"/>
  <c r="D47" i="3" l="1"/>
  <c r="D48" i="3"/>
  <c r="D35" i="3"/>
  <c r="I23" i="8" l="1"/>
  <c r="C13" i="8"/>
  <c r="B10" i="9" l="1"/>
  <c r="H87" i="2" l="1"/>
  <c r="H26" i="2"/>
  <c r="G79" i="2"/>
  <c r="E79" i="2"/>
  <c r="D79" i="2"/>
  <c r="C36" i="6"/>
  <c r="C27" i="6"/>
  <c r="C39" i="3" l="1"/>
  <c r="C46" i="3"/>
  <c r="C19" i="4"/>
  <c r="E18" i="2" l="1"/>
  <c r="F14" i="2"/>
  <c r="D46" i="3" l="1"/>
  <c r="D45" i="3"/>
  <c r="D33" i="3"/>
  <c r="D34" i="3"/>
  <c r="D32" i="3"/>
  <c r="C21" i="3"/>
  <c r="F23" i="3"/>
  <c r="F22" i="3"/>
  <c r="H22" i="3"/>
  <c r="I22" i="3"/>
  <c r="J22" i="3"/>
  <c r="J21" i="3"/>
  <c r="F21" i="3"/>
  <c r="E21" i="3"/>
  <c r="C106" i="2"/>
  <c r="D51" i="2"/>
  <c r="D50" i="2"/>
  <c r="E73" i="2"/>
  <c r="F73" i="2"/>
  <c r="G73" i="2"/>
  <c r="D73" i="2"/>
  <c r="H74" i="2"/>
  <c r="F9" i="5" l="1"/>
  <c r="F11" i="5"/>
  <c r="F16" i="5"/>
  <c r="F18" i="5"/>
  <c r="F17" i="5"/>
  <c r="F19" i="5"/>
  <c r="F12" i="5"/>
  <c r="F13" i="5"/>
  <c r="F20" i="5"/>
  <c r="F15" i="5"/>
  <c r="F10" i="5"/>
  <c r="F14" i="5"/>
  <c r="F21" i="5"/>
  <c r="F22" i="5"/>
  <c r="F12" i="2"/>
  <c r="F23" i="2" l="1"/>
  <c r="F11" i="2" l="1"/>
  <c r="H13" i="2"/>
  <c r="C11" i="2"/>
  <c r="C22" i="8" l="1"/>
  <c r="C21" i="8"/>
  <c r="C20" i="8"/>
  <c r="C19" i="8"/>
  <c r="C18" i="8"/>
  <c r="C17" i="8"/>
  <c r="C16" i="8"/>
  <c r="C15" i="8"/>
  <c r="C14" i="8"/>
  <c r="C12" i="8"/>
  <c r="D38" i="2"/>
  <c r="G84" i="2"/>
  <c r="G86" i="2" s="1"/>
  <c r="G87" i="2" s="1"/>
  <c r="G23" i="2"/>
  <c r="C75" i="2"/>
  <c r="C74" i="2"/>
  <c r="C73" i="2"/>
  <c r="C13" i="2"/>
  <c r="C12" i="2"/>
  <c r="F84" i="2"/>
  <c r="F86" i="2" s="1"/>
  <c r="F87" i="2" s="1"/>
  <c r="C19" i="2"/>
  <c r="C18" i="2"/>
  <c r="C17" i="2"/>
  <c r="C16" i="2"/>
  <c r="C15" i="2"/>
  <c r="C14" i="2"/>
  <c r="K23" i="8"/>
  <c r="J23" i="8"/>
  <c r="H23" i="8"/>
  <c r="G23" i="8"/>
  <c r="D23" i="8"/>
  <c r="E23" i="8"/>
  <c r="F23" i="8"/>
  <c r="F8" i="5"/>
  <c r="D21" i="3"/>
  <c r="D49" i="3"/>
  <c r="C49" i="3"/>
  <c r="C53" i="3" s="1"/>
  <c r="D39" i="3"/>
  <c r="C15" i="3"/>
  <c r="H49" i="3"/>
  <c r="G49" i="3"/>
  <c r="F49" i="3"/>
  <c r="E47" i="3"/>
  <c r="E44" i="3"/>
  <c r="J39" i="3"/>
  <c r="I39" i="3"/>
  <c r="H39" i="3"/>
  <c r="G39" i="3"/>
  <c r="F39" i="3"/>
  <c r="E39" i="3"/>
  <c r="J25" i="3"/>
  <c r="I25" i="3"/>
  <c r="H25" i="3"/>
  <c r="G25" i="3"/>
  <c r="F25" i="3"/>
  <c r="C25" i="3"/>
  <c r="E24" i="3"/>
  <c r="E25" i="3" s="1"/>
  <c r="D23" i="3"/>
  <c r="D22" i="3"/>
  <c r="D106" i="2"/>
  <c r="D105" i="2"/>
  <c r="D108" i="2"/>
  <c r="D48" i="2"/>
  <c r="D47" i="2"/>
  <c r="D52" i="2"/>
  <c r="C59" i="2"/>
  <c r="C23" i="6"/>
  <c r="D27" i="6"/>
  <c r="D23" i="6"/>
  <c r="B11" i="9"/>
  <c r="G25" i="2" l="1"/>
  <c r="G26" i="2" s="1"/>
  <c r="F25" i="2"/>
  <c r="F26" i="2" s="1"/>
  <c r="C23" i="8"/>
  <c r="C28" i="6"/>
  <c r="C38" i="6" s="1"/>
  <c r="C42" i="6" s="1"/>
  <c r="C46" i="6" s="1"/>
  <c r="D53" i="3"/>
  <c r="E49" i="3"/>
  <c r="F53" i="3" s="1"/>
  <c r="D28" i="6"/>
  <c r="D38" i="6" s="1"/>
  <c r="D45" i="6" s="1"/>
  <c r="C28" i="2"/>
  <c r="C39" i="2"/>
  <c r="D104" i="2"/>
  <c r="D107" i="2"/>
  <c r="D109" i="2"/>
  <c r="D46" i="2"/>
  <c r="D53" i="2"/>
  <c r="D49" i="2"/>
  <c r="D45" i="2"/>
  <c r="H84" i="2"/>
  <c r="H86" i="2" s="1"/>
  <c r="E84" i="2"/>
  <c r="E86" i="2" s="1"/>
  <c r="E87" i="2" s="1"/>
  <c r="D84" i="2"/>
  <c r="D86" i="2" s="1"/>
  <c r="D87" i="2" s="1"/>
  <c r="C83" i="2"/>
  <c r="C82" i="2"/>
  <c r="C81" i="2"/>
  <c r="C80" i="2"/>
  <c r="C79" i="2"/>
  <c r="C78" i="2"/>
  <c r="C77" i="2"/>
  <c r="C76" i="2"/>
  <c r="C72" i="2"/>
  <c r="E23" i="2"/>
  <c r="H23" i="2"/>
  <c r="H25" i="2" s="1"/>
  <c r="D23" i="2"/>
  <c r="B12" i="9"/>
  <c r="B13" i="9"/>
  <c r="C20" i="2"/>
  <c r="C21" i="2"/>
  <c r="C22" i="2"/>
  <c r="C54" i="3"/>
  <c r="C97" i="2" l="1"/>
  <c r="C110" i="2" s="1"/>
  <c r="D42" i="6"/>
  <c r="D46" i="6" s="1"/>
  <c r="C45" i="6"/>
  <c r="E53" i="3"/>
  <c r="C55" i="3"/>
  <c r="E25" i="2"/>
  <c r="E26" i="2" s="1"/>
  <c r="D25" i="2"/>
  <c r="D26" i="2" s="1"/>
  <c r="B14" i="9"/>
  <c r="B15" i="9"/>
  <c r="C84" i="2"/>
  <c r="C89" i="2" s="1"/>
  <c r="C90" i="2" s="1"/>
  <c r="C86" i="2" l="1"/>
  <c r="C23" i="2"/>
  <c r="F54" i="3" s="1"/>
  <c r="F55" i="3" s="1"/>
  <c r="C87" i="2" l="1"/>
  <c r="B7" i="9" s="1"/>
  <c r="B5" i="9"/>
  <c r="C29" i="2"/>
  <c r="C31" i="2" s="1"/>
  <c r="C32" i="2" s="1"/>
  <c r="D103" i="2"/>
  <c r="D102" i="2"/>
  <c r="D101" i="2"/>
  <c r="D100" i="2"/>
  <c r="D99" i="2"/>
  <c r="D98" i="2"/>
  <c r="D97" i="2"/>
  <c r="D96" i="2"/>
  <c r="D110" i="2" l="1"/>
  <c r="C115" i="2"/>
  <c r="C116" i="2" s="1"/>
  <c r="D44" i="2"/>
  <c r="D43" i="2"/>
  <c r="D42" i="2"/>
  <c r="D41" i="2"/>
  <c r="D40" i="2"/>
  <c r="C112" i="2" l="1"/>
  <c r="C25" i="2" l="1"/>
  <c r="C26" i="2" s="1"/>
  <c r="D54" i="3" l="1"/>
  <c r="D55" i="3" s="1"/>
  <c r="C60" i="2" l="1"/>
  <c r="C62" i="2" s="1"/>
  <c r="C63" i="2" s="1"/>
  <c r="B6" i="9"/>
  <c r="E54" i="3"/>
  <c r="E55" i="3" s="1"/>
  <c r="C56" i="2"/>
  <c r="C57" i="2" s="1"/>
</calcChain>
</file>

<file path=xl/sharedStrings.xml><?xml version="1.0" encoding="utf-8"?>
<sst xmlns="http://schemas.openxmlformats.org/spreadsheetml/2006/main" count="389" uniqueCount="286">
  <si>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</si>
  <si>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</si>
  <si>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</si>
  <si>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</si>
  <si>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</si>
  <si>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</si>
  <si>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</si>
  <si>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</si>
  <si>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</si>
  <si>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</si>
  <si>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</si>
  <si>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</si>
  <si>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</si>
  <si>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</si>
  <si>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</si>
  <si>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</si>
  <si>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</si>
  <si>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</si>
  <si>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</si>
  <si>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</si>
  <si>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</si>
  <si>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</si>
  <si>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</si>
  <si>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</si>
  <si>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</si>
  <si>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</si>
  <si>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</si>
  <si>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</si>
  <si>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</si>
  <si>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</si>
  <si>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</si>
  <si>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</si>
  <si>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</si>
  <si>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</si>
  <si>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</si>
  <si>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</si>
  <si>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</si>
  <si>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</si>
  <si>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</si>
  <si>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</si>
  <si>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</si>
  <si>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</si>
  <si>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</si>
  <si>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</si>
  <si>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</si>
  <si>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</si>
  <si>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</si>
  <si>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</si>
  <si>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</si>
  <si>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</si>
  <si>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</si>
  <si>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</si>
  <si>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</si>
  <si>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</si>
  <si>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</si>
  <si>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</si>
  <si>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</si>
  <si>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</si>
  <si>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</si>
  <si>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</si>
  <si>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</si>
  <si>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</si>
  <si>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</si>
  <si>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</si>
  <si>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</si>
  <si>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</si>
  <si>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</si>
  <si>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</si>
  <si>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</si>
  <si>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</si>
  <si>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</si>
  <si>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</si>
  <si>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</si>
  <si>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</si>
  <si>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</si>
  <si>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</si>
  <si>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</si>
  <si>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</si>
  <si>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</si>
  <si>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</si>
  <si>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</si>
  <si>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</si>
  <si>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</si>
  <si>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</si>
  <si>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</si>
  <si>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</si>
  <si>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</si>
  <si>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</si>
  <si>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</si>
  <si>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</si>
  <si>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</si>
  <si>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</si>
  <si>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</si>
  <si>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</si>
  <si>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</si>
  <si>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</si>
  <si>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</si>
  <si>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</si>
  <si>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</si>
  <si>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</si>
  <si>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</si>
  <si>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</si>
  <si>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</si>
  <si>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</si>
  <si>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</si>
  <si>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</si>
  <si>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</si>
  <si>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</si>
  <si>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</si>
  <si>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</si>
  <si>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</si>
  <si>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</si>
  <si>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</si>
  <si>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</si>
  <si>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</si>
  <si>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</si>
  <si>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</si>
  <si>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</si>
  <si>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</si>
  <si>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</si>
  <si>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</si>
  <si>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</si>
  <si>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</si>
  <si>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</si>
  <si>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</si>
  <si>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</si>
  <si>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</si>
  <si>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</si>
  <si>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</si>
  <si>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</si>
  <si>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</si>
  <si>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</si>
  <si>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</si>
  <si>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</si>
  <si>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</si>
  <si>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</si>
  <si>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</si>
  <si>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</si>
  <si>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</si>
  <si>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</si>
  <si>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</si>
  <si>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</si>
  <si>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</si>
  <si>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</si>
  <si>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</si>
  <si>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</si>
  <si>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</si>
  <si>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</si>
  <si>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</si>
  <si>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</si>
  <si>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</si>
  <si>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</si>
  <si>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</si>
  <si>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</si>
  <si>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</si>
  <si>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</si>
  <si>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</si>
  <si>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</si>
  <si>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</si>
  <si>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</si>
  <si>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</si>
  <si>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</si>
  <si>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</si>
  <si>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</si>
  <si>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</si>
  <si>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</si>
  <si>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</si>
  <si>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</si>
  <si>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</si>
  <si>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</si>
  <si>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</si>
  <si>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</si>
  <si>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</si>
  <si>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</si>
  <si>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</si>
  <si>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</si>
  <si>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</si>
  <si>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</si>
  <si>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</si>
  <si>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</si>
  <si>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</si>
  <si>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</si>
  <si>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</si>
  <si>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</si>
  <si>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</si>
  <si>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</si>
  <si>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</si>
  <si>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</si>
  <si>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</si>
  <si>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</si>
  <si>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</si>
  <si>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</si>
  <si>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</si>
  <si>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</si>
  <si>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</si>
  <si>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</si>
  <si>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</si>
  <si>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</si>
  <si>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</si>
  <si>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</si>
  <si>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</si>
  <si>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</si>
  <si>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</si>
  <si>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</si>
  <si>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</si>
  <si>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</si>
  <si>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</si>
  <si>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</si>
  <si>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</si>
  <si>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</si>
  <si>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</si>
  <si>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</si>
  <si>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</si>
  <si>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</si>
  <si>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</si>
  <si>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</si>
  <si>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</si>
  <si>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</si>
  <si>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</si>
  <si>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</si>
  <si>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</si>
  <si>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</si>
  <si>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</si>
  <si>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</si>
  <si>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</si>
  <si>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</si>
  <si>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</si>
  <si>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</si>
  <si>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</si>
  <si>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</si>
  <si>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</si>
  <si>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</si>
  <si>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</si>
  <si>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</si>
  <si>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</si>
  <si>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</si>
  <si>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</si>
  <si>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</si>
  <si>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</si>
  <si>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</si>
  <si>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</si>
  <si>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</si>
  <si>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</si>
  <si>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</si>
  <si>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</si>
  <si>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</si>
  <si>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Benefits</t>
  </si>
  <si>
    <t>Insurance</t>
  </si>
  <si>
    <t>Utilities</t>
  </si>
  <si>
    <t>Other Supplies</t>
  </si>
  <si>
    <t>Other Reform</t>
  </si>
  <si>
    <t>Contract and Purchased Services</t>
  </si>
  <si>
    <t>Chargeable Supplies</t>
  </si>
  <si>
    <t>Depreciation</t>
  </si>
  <si>
    <t>Repairs and Maintenance</t>
  </si>
  <si>
    <t>Other Expense</t>
  </si>
  <si>
    <t>Other Expsense</t>
  </si>
  <si>
    <t>Surgical Services</t>
  </si>
  <si>
    <t xml:space="preserve">Emergency Room </t>
  </si>
  <si>
    <t>Nuclear Medicine</t>
  </si>
  <si>
    <t>Laboratory</t>
  </si>
  <si>
    <t>Cat Scan</t>
  </si>
  <si>
    <t>Respiratory Therapy</t>
  </si>
  <si>
    <t>Miscellaneous</t>
  </si>
  <si>
    <t>Yes</t>
  </si>
  <si>
    <t>Yes - BC/BS Primary and QHP, MVP</t>
  </si>
  <si>
    <t>No</t>
  </si>
  <si>
    <t>not known yet</t>
  </si>
  <si>
    <t xml:space="preserve">5,796 - based     on FY 21 </t>
  </si>
  <si>
    <t>1,640 based on FY 21</t>
  </si>
  <si>
    <t>886,490/month - based on FY 21</t>
  </si>
  <si>
    <t>VAHHs Grant</t>
  </si>
  <si>
    <t>RHC Covid testing grant</t>
  </si>
  <si>
    <t>Locums</t>
  </si>
  <si>
    <t>Annual raise of 2%</t>
  </si>
  <si>
    <t>Non-Benefit Expense</t>
  </si>
  <si>
    <t>Annual raise of 2% and market adjusts of 1.3%</t>
  </si>
  <si>
    <t>Leases</t>
  </si>
  <si>
    <t>Supply Expense</t>
  </si>
  <si>
    <t>Contract Services</t>
  </si>
  <si>
    <t>Increase in Cyber liability limit general increase in other insurances</t>
  </si>
  <si>
    <t>Increase in salaries increases tax expense and health insurance premiums remain high</t>
  </si>
  <si>
    <t>Overall utility prices anticipate increasing</t>
  </si>
  <si>
    <t>Interest</t>
  </si>
  <si>
    <t>Other Operating Expense</t>
  </si>
  <si>
    <t>Projection derived as of: May 2021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</si>
</sst>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06">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40" xfId="0" applyFont="1" applyBorder="1" applyAlignment="1">
      <alignment horizontal="left" indent="3"/>
    </xf>
    <xf numFmtId="44" fontId="1" fillId="0" borderId="27" xfId="2" applyFont="1" applyBorder="1"/>
    <xf numFmtId="44" fontId="1" fillId="0" borderId="38" xfId="2" applyFont="1" applyBorder="1"/>
    <xf numFmtId="44" fontId="1" fillId="0" borderId="39" xfId="2" applyFont="1" applyBorder="1"/>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0" fillId="0" borderId="4" xfId="0" applyBorder="1" applyAlignment="1" applyProtection="1">
      <alignment horizontal="right" wrapText="1"/>
      <protection locked="0"/>
    </xf>
    <xf numFmtId="165" fontId="0" fillId="0" borderId="0" xfId="3" applyNumberFormat="1" applyFont="1" applyFill="1" applyBorder="1"/>
    <xf numFmtId="165" fontId="4" fillId="0" borderId="0" xfId="5" applyNumberFormat="1"/>
    <xf numFmtId="4" fontId="4" fillId="0" borderId="0" xfId="5" applyNumberFormat="1"/>
    <xf numFmtId="0" fontId="5" fillId="0" borderId="4" xfId="5" applyFont="1" applyFill="1" applyBorder="1"/>
    <xf numFmtId="10" fontId="5" fillId="0" borderId="4" xfId="3" applyNumberFormat="1" applyFont="1" applyBorder="1"/>
    <xf numFmtId="3" fontId="4" fillId="5" borderId="0" xfId="3" applyNumberFormat="1" applyFont="1" applyFill="1" applyBorder="1"/>
    <xf numFmtId="9" fontId="0" fillId="3" borderId="4" xfId="2" applyNumberFormat="1" applyFont="1" applyFill="1" applyBorder="1" applyAlignment="1">
      <alignment horizontal="center"/>
    </xf>
    <xf numFmtId="0" fontId="0" fillId="0" borderId="0" xfId="5" applyFont="1"/>
    <xf numFmtId="0" fontId="8" fillId="0" borderId="12" xfId="5" applyFont="1" applyBorder="1" applyAlignment="1">
      <alignment wrapText="1"/>
    </xf>
    <xf numFmtId="3" fontId="8" fillId="0" borderId="12" xfId="5" applyNumberFormat="1" applyFont="1" applyBorder="1"/>
    <xf numFmtId="3" fontId="8" fillId="0" borderId="12" xfId="5" applyNumberFormat="1" applyFont="1" applyBorder="1" applyAlignment="1">
      <alignment wrapText="1"/>
    </xf>
    <xf numFmtId="3" fontId="1" fillId="0" borderId="0" xfId="0" applyNumberFormat="1" applyFont="1" applyBorder="1"/>
    <xf numFmtId="3" fontId="1" fillId="0" borderId="0" xfId="0" applyNumberFormat="1" applyFont="1"/>
    <xf numFmtId="3" fontId="1" fillId="0" borderId="17" xfId="0" applyNumberFormat="1" applyFont="1" applyBorder="1"/>
    <xf numFmtId="3" fontId="1" fillId="0" borderId="14" xfId="0" applyNumberFormat="1" applyFont="1" applyBorder="1"/>
    <xf numFmtId="3" fontId="1" fillId="0" borderId="10" xfId="0" applyNumberFormat="1" applyFont="1" applyBorder="1"/>
    <xf numFmtId="0" fontId="0" fillId="0" borderId="15" xfId="0" applyFont="1" applyBorder="1"/>
    <xf numFmtId="0" fontId="0" fillId="0" borderId="20" xfId="0" applyFont="1" applyBorder="1"/>
    <xf numFmtId="9" fontId="4" fillId="11" borderId="0" xfId="2" applyNumberFormat="1" applyFont="1" applyFill="1" applyBorder="1"/>
    <xf numFmtId="165" fontId="1" fillId="0" borderId="24" xfId="0" applyNumberFormat="1" applyFont="1" applyFill="1" applyBorder="1"/>
    <xf numFmtId="3" fontId="1" fillId="0" borderId="0" xfId="0" applyNumberFormat="1" applyFont="1" applyFill="1" applyBorder="1"/>
    <xf numFmtId="3" fontId="1" fillId="0" borderId="0" xfId="0" applyNumberFormat="1" applyFont="1" applyFill="1"/>
    <xf numFmtId="3" fontId="1" fillId="0" borderId="17" xfId="0" applyNumberFormat="1" applyFont="1" applyFill="1" applyBorder="1"/>
    <xf numFmtId="0" fontId="0" fillId="0" borderId="4" xfId="0" applyBorder="1" applyAlignment="1">
      <alignment wrapText="1"/>
    </xf>
    <xf numFmtId="44" fontId="0" fillId="0" borderId="4" xfId="2" applyFont="1" applyFill="1" applyBorder="1" applyAlignment="1">
      <alignment horizontal="center"/>
    </xf>
    <xf numFmtId="0" fontId="0" fillId="0" borderId="4" xfId="0" applyFill="1" applyBorder="1" applyAlignment="1">
      <alignment horizontal="right"/>
    </xf>
    <xf numFmtId="166" fontId="0" fillId="0" borderId="4" xfId="1" applyNumberFormat="1" applyFont="1" applyFill="1" applyBorder="1" applyProtection="1"/>
    <xf numFmtId="164" fontId="0" fillId="0" borderId="4" xfId="3" applyNumberFormat="1" applyFont="1" applyFill="1" applyBorder="1" applyAlignment="1">
      <alignment horizontal="center"/>
    </xf>
    <xf numFmtId="164" fontId="0" fillId="5" borderId="4" xfId="3" applyNumberFormat="1" applyFont="1" applyFill="1" applyBorder="1"/>
    <xf numFmtId="164" fontId="4" fillId="0" borderId="4" xfId="3" applyNumberFormat="1" applyFont="1" applyBorder="1"/>
    <xf numFmtId="164" fontId="4" fillId="3" borderId="4" xfId="3" applyNumberFormat="1" applyFont="1" applyFill="1" applyBorder="1"/>
    <xf numFmtId="44" fontId="4" fillId="0" borderId="0" xfId="5" applyNumberFormat="1" applyFill="1"/>
    <xf numFmtId="0" fontId="6" fillId="0" borderId="0" xfId="0" applyFont="1" applyFill="1"/>
    <xf numFmtId="44" fontId="26" fillId="20" borderId="4" xfId="2" applyFont="1" applyFill="1" applyBorder="1" applyAlignment="1">
      <alignment horizontal="center"/>
    </xf>
    <xf numFmtId="0" fontId="0" fillId="0" borderId="0" xfId="0" applyFill="1" applyAlignment="1">
      <alignment horizontal="center"/>
    </xf>
    <xf numFmtId="164" fontId="0" fillId="0" borderId="0" xfId="0" applyNumberFormat="1" applyFill="1"/>
    <xf numFmtId="164" fontId="0" fillId="0" borderId="0" xfId="3" applyNumberFormat="1" applyFont="1" applyFill="1" applyAlignment="1">
      <alignment horizontal="center"/>
    </xf>
    <xf numFmtId="0" fontId="0" fillId="0" borderId="0" xfId="0" applyFill="1"/>
    <xf numFmtId="164" fontId="0" fillId="0" borderId="4" xfId="3" applyNumberFormat="1" applyFont="1" applyFill="1" applyBorder="1"/>
    <xf numFmtId="10" fontId="4" fillId="0" borderId="0" xfId="5" applyNumberFormat="1"/>
    <xf numFmtId="0" fontId="0" fillId="0" borderId="4" xfId="0" applyBorder="1" applyAlignment="1" applyProtection="1">
      <alignment horizontal="left"/>
      <protection locked="0"/>
    </xf>
    <xf numFmtId="165" fontId="4" fillId="0" borderId="4" xfId="5" applyNumberFormat="1" applyFont="1" applyFill="1" applyBorder="1"/>
    <xf numFmtId="44" fontId="4" fillId="0" borderId="4" xfId="2" applyFont="1" applyFill="1" applyBorder="1"/>
    <xf numFmtId="167" fontId="4" fillId="0" borderId="4" xfId="2" applyNumberFormat="1" applyFont="1" applyFill="1" applyBorder="1"/>
    <xf numFmtId="9" fontId="4" fillId="0" borderId="4" xfId="3"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4" fillId="0" borderId="4" xfId="5" applyNumberFormat="1" applyBorder="1" applyAlignment="1">
      <alignment horizontal="left"/>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0"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38"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37"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NULL"/><Relationship Id="rId13" Type="http://schemas.openxmlformats.org/officeDocument/2006/relationships/revisionLog" Target="NULL"/><Relationship Id="rId18" Type="http://schemas.openxmlformats.org/officeDocument/2006/relationships/revisionLog" Target="NULL"/><Relationship Id="rId26" Type="http://schemas.openxmlformats.org/officeDocument/2006/relationships/revisionLog" Target="NULL"/><Relationship Id="rId3" Type="http://schemas.openxmlformats.org/officeDocument/2006/relationships/revisionLog" Target="NULL"/><Relationship Id="rId21" Type="http://schemas.openxmlformats.org/officeDocument/2006/relationships/revisionLog" Target="NULL"/><Relationship Id="rId7"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2" Type="http://schemas.openxmlformats.org/officeDocument/2006/relationships/revisionLog" Target="NULL"/><Relationship Id="rId16" Type="http://schemas.openxmlformats.org/officeDocument/2006/relationships/revisionLog" Target="NULL"/><Relationship Id="rId20" Type="http://schemas.openxmlformats.org/officeDocument/2006/relationships/revisionLog" Target="NULL"/><Relationship Id="rId29" Type="http://schemas.openxmlformats.org/officeDocument/2006/relationships/revisionLog" Target="revisionLog2.xml"/><Relationship Id="rId1" Type="http://schemas.openxmlformats.org/officeDocument/2006/relationships/revisionLog" Target="NULL"/><Relationship Id="rId6" Type="http://schemas.openxmlformats.org/officeDocument/2006/relationships/revisionLog" Target="NULL"/><Relationship Id="rId11" Type="http://schemas.openxmlformats.org/officeDocument/2006/relationships/revisionLog" Target="NULL"/><Relationship Id="rId24" Type="http://schemas.openxmlformats.org/officeDocument/2006/relationships/revisionLog" Target="NULL"/><Relationship Id="rId5"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revisionLog1.xml"/><Relationship Id="rId10" Type="http://schemas.openxmlformats.org/officeDocument/2006/relationships/revisionLog" Target="NULL"/><Relationship Id="rId19" Type="http://schemas.openxmlformats.org/officeDocument/2006/relationships/revisionLog" Target="NULL"/><Relationship Id="rId4" Type="http://schemas.openxmlformats.org/officeDocument/2006/relationships/revisionLog" Target="NULL"/><Relationship Id="rId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revisionLog27.xml"/><Relationship Id="rId3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FE06B99-B16F-4401-9398-421E2A2501F1}" diskRevisions="1" revisionId="591" version="2">
  <header guid="{DA2DF8C7-1D2E-496A-AB7B-A27C894B6852}" dateTime="2021-06-29T09:59:57" maxSheetId="11" userName="Anita Flagg" r:id="rId1">
    <sheetIdMap count="10">
      <sheetId val="1"/>
      <sheetId val="2"/>
      <sheetId val="3"/>
      <sheetId val="4"/>
      <sheetId val="5"/>
      <sheetId val="6"/>
      <sheetId val="7"/>
      <sheetId val="8"/>
      <sheetId val="9"/>
      <sheetId val="10"/>
    </sheetIdMap>
  </header>
  <header guid="{D22F9C47-0390-4E5D-B2E2-BC8E7EEEC280}" dateTime="2021-06-29T10:21:24" maxSheetId="11" userName="Anita Flagg" r:id="rId2" minRId="1" maxRId="13">
    <sheetIdMap count="10">
      <sheetId val="1"/>
      <sheetId val="2"/>
      <sheetId val="3"/>
      <sheetId val="4"/>
      <sheetId val="5"/>
      <sheetId val="6"/>
      <sheetId val="7"/>
      <sheetId val="8"/>
      <sheetId val="9"/>
      <sheetId val="10"/>
    </sheetIdMap>
  </header>
  <header guid="{BF89786A-21A0-4931-A7DB-5D32C9A4C106}" dateTime="2021-06-29T10:46:01" maxSheetId="11" userName="Tracey Paul" r:id="rId3" minRId="14" maxRId="91">
    <sheetIdMap count="10">
      <sheetId val="1"/>
      <sheetId val="2"/>
      <sheetId val="3"/>
      <sheetId val="4"/>
      <sheetId val="5"/>
      <sheetId val="6"/>
      <sheetId val="7"/>
      <sheetId val="8"/>
      <sheetId val="9"/>
      <sheetId val="10"/>
    </sheetIdMap>
  </header>
  <header guid="{B17CC514-9DF6-4A26-B622-A39CA057D09F}" dateTime="2021-06-29T11:22:56" maxSheetId="11" userName="Anita Flagg" r:id="rId4" minRId="101" maxRId="108">
    <sheetIdMap count="10">
      <sheetId val="1"/>
      <sheetId val="2"/>
      <sheetId val="3"/>
      <sheetId val="4"/>
      <sheetId val="5"/>
      <sheetId val="6"/>
      <sheetId val="7"/>
      <sheetId val="8"/>
      <sheetId val="9"/>
      <sheetId val="10"/>
    </sheetIdMap>
  </header>
  <header guid="{2FA34063-4E31-46A6-A323-106F523E6816}" dateTime="2021-06-29T11:27:49" maxSheetId="11" userName="Anita Flagg" r:id="rId5" minRId="109" maxRId="124">
    <sheetIdMap count="10">
      <sheetId val="1"/>
      <sheetId val="2"/>
      <sheetId val="3"/>
      <sheetId val="4"/>
      <sheetId val="5"/>
      <sheetId val="6"/>
      <sheetId val="7"/>
      <sheetId val="8"/>
      <sheetId val="9"/>
      <sheetId val="10"/>
    </sheetIdMap>
  </header>
  <header guid="{7EEBAAF6-913A-4B26-9FAE-5D91B3FD5295}" dateTime="2021-06-29T11:35:32" maxSheetId="11" userName="Anita Flagg" r:id="rId6" minRId="125" maxRId="138">
    <sheetIdMap count="10">
      <sheetId val="1"/>
      <sheetId val="2"/>
      <sheetId val="3"/>
      <sheetId val="4"/>
      <sheetId val="5"/>
      <sheetId val="6"/>
      <sheetId val="7"/>
      <sheetId val="8"/>
      <sheetId val="9"/>
      <sheetId val="10"/>
    </sheetIdMap>
  </header>
  <header guid="{0451BED2-69EE-42D8-B626-922D6A560185}" dateTime="2021-06-29T11:39:28" maxSheetId="11" userName="Anita Flagg" r:id="rId7">
    <sheetIdMap count="10">
      <sheetId val="1"/>
      <sheetId val="2"/>
      <sheetId val="3"/>
      <sheetId val="4"/>
      <sheetId val="5"/>
      <sheetId val="6"/>
      <sheetId val="7"/>
      <sheetId val="8"/>
      <sheetId val="9"/>
      <sheetId val="10"/>
    </sheetIdMap>
  </header>
  <header guid="{41558B57-6D60-4955-B1D9-6FB20E3DBC8B}" dateTime="2021-06-29T12:52:13" maxSheetId="11" userName="Tracey Paul" r:id="rId8" minRId="148" maxRId="154">
    <sheetIdMap count="10">
      <sheetId val="1"/>
      <sheetId val="2"/>
      <sheetId val="3"/>
      <sheetId val="4"/>
      <sheetId val="5"/>
      <sheetId val="6"/>
      <sheetId val="7"/>
      <sheetId val="8"/>
      <sheetId val="9"/>
      <sheetId val="10"/>
    </sheetIdMap>
  </header>
  <header guid="{CB044692-F7F9-4C58-9850-9A3B0D5350F0}" dateTime="2021-06-29T13:10:33" maxSheetId="11" userName="Tracey Paul" r:id="rId9" minRId="155" maxRId="165">
    <sheetIdMap count="10">
      <sheetId val="1"/>
      <sheetId val="2"/>
      <sheetId val="3"/>
      <sheetId val="4"/>
      <sheetId val="5"/>
      <sheetId val="6"/>
      <sheetId val="7"/>
      <sheetId val="8"/>
      <sheetId val="9"/>
      <sheetId val="10"/>
    </sheetIdMap>
  </header>
  <header guid="{7B4BA61F-2A72-42F6-AE1F-D421A93B19BC}" dateTime="2021-06-29T13:59:19" maxSheetId="11" userName="Tracey Paul" r:id="rId10" minRId="166" maxRId="169">
    <sheetIdMap count="10">
      <sheetId val="1"/>
      <sheetId val="2"/>
      <sheetId val="3"/>
      <sheetId val="4"/>
      <sheetId val="5"/>
      <sheetId val="6"/>
      <sheetId val="7"/>
      <sheetId val="8"/>
      <sheetId val="9"/>
      <sheetId val="10"/>
    </sheetIdMap>
  </header>
  <header guid="{8161B18F-6591-4CAC-B1A3-4361B01DE2A1}" dateTime="2021-06-29T15:13:43" maxSheetId="11" userName="Tracey Paul" r:id="rId11" minRId="170" maxRId="220">
    <sheetIdMap count="10">
      <sheetId val="1"/>
      <sheetId val="2"/>
      <sheetId val="3"/>
      <sheetId val="4"/>
      <sheetId val="5"/>
      <sheetId val="6"/>
      <sheetId val="7"/>
      <sheetId val="8"/>
      <sheetId val="9"/>
      <sheetId val="10"/>
    </sheetIdMap>
  </header>
  <header guid="{00CEE44A-31B2-418C-A3B8-C0A7BFD849AA}" dateTime="2021-06-29T15:19:16" maxSheetId="11" userName="Tracey Paul" r:id="rId12" minRId="221" maxRId="259">
    <sheetIdMap count="10">
      <sheetId val="1"/>
      <sheetId val="2"/>
      <sheetId val="3"/>
      <sheetId val="4"/>
      <sheetId val="5"/>
      <sheetId val="6"/>
      <sheetId val="7"/>
      <sheetId val="8"/>
      <sheetId val="9"/>
      <sheetId val="10"/>
    </sheetIdMap>
  </header>
  <header guid="{BC27150C-8552-477F-9C77-CD7B1B2A9BAE}" dateTime="2021-06-30T09:41:59" maxSheetId="11" userName="Tracey Paul" r:id="rId13">
    <sheetIdMap count="10">
      <sheetId val="1"/>
      <sheetId val="2"/>
      <sheetId val="3"/>
      <sheetId val="4"/>
      <sheetId val="5"/>
      <sheetId val="6"/>
      <sheetId val="7"/>
      <sheetId val="8"/>
      <sheetId val="9"/>
      <sheetId val="10"/>
    </sheetIdMap>
  </header>
  <header guid="{AAC6A407-AA25-4E1B-A814-615A7B7B8B26}" dateTime="2021-06-30T10:16:47" maxSheetId="11" userName="Anita Flagg" r:id="rId14" minRId="278" maxRId="376">
    <sheetIdMap count="10">
      <sheetId val="1"/>
      <sheetId val="2"/>
      <sheetId val="3"/>
      <sheetId val="4"/>
      <sheetId val="5"/>
      <sheetId val="6"/>
      <sheetId val="7"/>
      <sheetId val="8"/>
      <sheetId val="9"/>
      <sheetId val="10"/>
    </sheetIdMap>
  </header>
  <header guid="{BE89C377-8A7F-4C09-8843-051418383285}" dateTime="2021-07-01T14:26:34" maxSheetId="11" userName="Anita Flagg" r:id="rId15" minRId="377" maxRId="380">
    <sheetIdMap count="10">
      <sheetId val="1"/>
      <sheetId val="2"/>
      <sheetId val="3"/>
      <sheetId val="4"/>
      <sheetId val="5"/>
      <sheetId val="6"/>
      <sheetId val="7"/>
      <sheetId val="8"/>
      <sheetId val="9"/>
      <sheetId val="10"/>
    </sheetIdMap>
  </header>
  <header guid="{B3897347-9E5F-4CDC-98D4-CB28EF5BC797}" dateTime="2021-07-06T09:32:41" maxSheetId="11" userName="Tracey Paul" r:id="rId16" minRId="390" maxRId="405">
    <sheetIdMap count="10">
      <sheetId val="1"/>
      <sheetId val="2"/>
      <sheetId val="3"/>
      <sheetId val="4"/>
      <sheetId val="5"/>
      <sheetId val="6"/>
      <sheetId val="7"/>
      <sheetId val="8"/>
      <sheetId val="9"/>
      <sheetId val="10"/>
    </sheetIdMap>
  </header>
  <header guid="{73DF5585-C005-45BD-A9E7-B3ED06FCA548}" dateTime="2021-07-06T09:33:03" maxSheetId="11" userName="Tracey Paul" r:id="rId17">
    <sheetIdMap count="10">
      <sheetId val="1"/>
      <sheetId val="2"/>
      <sheetId val="3"/>
      <sheetId val="4"/>
      <sheetId val="5"/>
      <sheetId val="6"/>
      <sheetId val="7"/>
      <sheetId val="8"/>
      <sheetId val="9"/>
      <sheetId val="10"/>
    </sheetIdMap>
  </header>
  <header guid="{29B12E30-620D-4BB1-ADFD-89EE00E2670D}" dateTime="2021-07-06T13:54:17" maxSheetId="11" userName="Tracey Paul" r:id="rId18">
    <sheetIdMap count="10">
      <sheetId val="1"/>
      <sheetId val="2"/>
      <sheetId val="3"/>
      <sheetId val="4"/>
      <sheetId val="5"/>
      <sheetId val="6"/>
      <sheetId val="7"/>
      <sheetId val="8"/>
      <sheetId val="9"/>
      <sheetId val="10"/>
    </sheetIdMap>
  </header>
  <header guid="{0784EEFE-4252-43CD-932B-209DC9152236}" dateTime="2021-07-06T13:59:51" maxSheetId="11" userName="Tracey Paul" r:id="rId19" minRId="415" maxRId="429">
    <sheetIdMap count="10">
      <sheetId val="1"/>
      <sheetId val="2"/>
      <sheetId val="3"/>
      <sheetId val="4"/>
      <sheetId val="5"/>
      <sheetId val="6"/>
      <sheetId val="7"/>
      <sheetId val="8"/>
      <sheetId val="9"/>
      <sheetId val="10"/>
    </sheetIdMap>
  </header>
  <header guid="{97C9343E-CA3C-4D9A-9191-359092102F86}" dateTime="2021-07-06T14:05:29" maxSheetId="11" userName="Tracey Paul" r:id="rId20">
    <sheetIdMap count="10">
      <sheetId val="1"/>
      <sheetId val="2"/>
      <sheetId val="3"/>
      <sheetId val="4"/>
      <sheetId val="5"/>
      <sheetId val="6"/>
      <sheetId val="7"/>
      <sheetId val="8"/>
      <sheetId val="9"/>
      <sheetId val="10"/>
    </sheetIdMap>
  </header>
  <header guid="{EE29AB5A-C439-4010-9F91-E80664A8CD0D}" dateTime="2021-07-07T07:40:26" maxSheetId="11" userName="Tracey Paul" r:id="rId21" minRId="439" maxRId="443">
    <sheetIdMap count="10">
      <sheetId val="1"/>
      <sheetId val="2"/>
      <sheetId val="3"/>
      <sheetId val="4"/>
      <sheetId val="5"/>
      <sheetId val="6"/>
      <sheetId val="7"/>
      <sheetId val="8"/>
      <sheetId val="9"/>
      <sheetId val="10"/>
    </sheetIdMap>
  </header>
  <header guid="{069995C1-AEBD-446C-92D8-370D92F978BA}" dateTime="2021-07-07T08:12:10" maxSheetId="11" userName="Patty Irish" r:id="rId22">
    <sheetIdMap count="10">
      <sheetId val="1"/>
      <sheetId val="2"/>
      <sheetId val="3"/>
      <sheetId val="4"/>
      <sheetId val="5"/>
      <sheetId val="6"/>
      <sheetId val="7"/>
      <sheetId val="8"/>
      <sheetId val="9"/>
      <sheetId val="10"/>
    </sheetIdMap>
  </header>
  <header guid="{6A8B7EF6-8F67-462E-BBBA-9F131A062A71}" dateTime="2021-07-07T12:09:33" maxSheetId="11" userName="Perry, Lori" r:id="rId23">
    <sheetIdMap count="10">
      <sheetId val="1"/>
      <sheetId val="2"/>
      <sheetId val="3"/>
      <sheetId val="4"/>
      <sheetId val="5"/>
      <sheetId val="6"/>
      <sheetId val="7"/>
      <sheetId val="8"/>
      <sheetId val="9"/>
      <sheetId val="10"/>
    </sheetIdMap>
  </header>
  <header guid="{6E217752-6231-476F-970E-1313AE44E2B2}" dateTime="2021-07-08T11:58:33" maxSheetId="11" userName="Rooney, Patrick" r:id="rId24" minRId="471" maxRId="476">
    <sheetIdMap count="10">
      <sheetId val="1"/>
      <sheetId val="2"/>
      <sheetId val="3"/>
      <sheetId val="4"/>
      <sheetId val="5"/>
      <sheetId val="6"/>
      <sheetId val="7"/>
      <sheetId val="8"/>
      <sheetId val="9"/>
      <sheetId val="10"/>
    </sheetIdMap>
  </header>
  <header guid="{5E734AEF-2E20-416D-922C-0EA86A52DDDB}" dateTime="2021-07-08T12:47:15" maxSheetId="11" userName="Rooney, Patrick" r:id="rId25" minRId="486">
    <sheetIdMap count="10">
      <sheetId val="1"/>
      <sheetId val="2"/>
      <sheetId val="3"/>
      <sheetId val="4"/>
      <sheetId val="5"/>
      <sheetId val="6"/>
      <sheetId val="7"/>
      <sheetId val="8"/>
      <sheetId val="9"/>
      <sheetId val="10"/>
    </sheetIdMap>
  </header>
  <header guid="{B8E5B1B9-0E36-490C-9CD2-29D36297F7A3}" dateTime="2021-07-09T12:17:17" maxSheetId="11" userName="Perry, Lori" r:id="rId26" minRId="487" maxRId="488">
    <sheetIdMap count="10">
      <sheetId val="1"/>
      <sheetId val="2"/>
      <sheetId val="3"/>
      <sheetId val="4"/>
      <sheetId val="5"/>
      <sheetId val="6"/>
      <sheetId val="7"/>
      <sheetId val="8"/>
      <sheetId val="9"/>
      <sheetId val="10"/>
    </sheetIdMap>
  </header>
  <header guid="{00A8506E-2AFF-4199-91EF-B8C4BB638F34}" dateTime="2021-07-12T09:41:14" maxSheetId="11" userName="Anita Flagg" r:id="rId27" minRId="489" maxRId="511">
    <sheetIdMap count="10">
      <sheetId val="1"/>
      <sheetId val="2"/>
      <sheetId val="3"/>
      <sheetId val="4"/>
      <sheetId val="5"/>
      <sheetId val="6"/>
      <sheetId val="7"/>
      <sheetId val="8"/>
      <sheetId val="9"/>
      <sheetId val="10"/>
    </sheetIdMap>
  </header>
  <header guid="{AB4F239C-B110-416A-8DF0-0D4EB2306458}" dateTime="2021-07-12T10:51:12" maxSheetId="11" userName="Tracey Paul" r:id="rId28" minRId="512" maxRId="516">
    <sheetIdMap count="10">
      <sheetId val="1"/>
      <sheetId val="2"/>
      <sheetId val="3"/>
      <sheetId val="4"/>
      <sheetId val="5"/>
      <sheetId val="6"/>
      <sheetId val="7"/>
      <sheetId val="8"/>
      <sheetId val="9"/>
      <sheetId val="10"/>
    </sheetIdMap>
  </header>
  <header guid="{C50A9BCC-E869-4C6F-9389-A99B975F1B55}" dateTime="2021-07-12T11:33:44" maxSheetId="11" userName="Anita Flagg" r:id="rId29" minRId="517" maxRId="573">
    <sheetIdMap count="10">
      <sheetId val="1"/>
      <sheetId val="2"/>
      <sheetId val="3"/>
      <sheetId val="4"/>
      <sheetId val="5"/>
      <sheetId val="6"/>
      <sheetId val="7"/>
      <sheetId val="8"/>
      <sheetId val="9"/>
      <sheetId val="10"/>
    </sheetIdMap>
  </header>
  <header guid="{BFE06B99-B16F-4401-9398-421E2A2501F1}" dateTime="2021-07-12T14:46:26" maxSheetId="11" userName="Perry, Lori" r:id="rId30">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2" sId="2" numFmtId="34">
    <oc r="D18">
      <f>-203241+2742839</f>
    </oc>
    <nc r="D18">
      <v>-315310</v>
    </nc>
  </rcc>
  <rcc rId="513" sId="2" numFmtId="34">
    <oc r="F18">
      <f>162054+147964-429383-2919322</f>
    </oc>
    <nc r="F18">
      <v>-536687</v>
    </nc>
  </rcc>
  <rcc rId="514" sId="2">
    <oc r="F19">
      <f>-615705+729211+170230+277527</f>
    </oc>
    <nc r="F19"/>
  </rcc>
  <rcc rId="515" sId="2">
    <oc r="G18">
      <f>-290887-62021</f>
    </oc>
    <nc r="G18"/>
  </rcc>
  <rfmt sheetId="2" sqref="C18:G19">
    <dxf>
      <fill>
        <patternFill>
          <bgColor rgb="FFFFFF00"/>
        </patternFill>
      </fill>
    </dxf>
  </rfmt>
  <rcc rId="516" sId="2" numFmtId="34">
    <nc r="G19">
      <v>561263</v>
    </nc>
  </rcc>
  <rfmt sheetId="2" sqref="C18:G19">
    <dxf>
      <fill>
        <patternFill>
          <bgColor theme="5" tint="0.3999755851924192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L32" start="0" length="0">
    <dxf>
      <numFmt numFmtId="165" formatCode="_(&quot;$&quot;* #,##0_);_(&quot;$&quot;* \(#,##0\);_(&quot;$&quot;* &quot;-&quot;??_);_(@_)"/>
    </dxf>
  </rfmt>
  <rfmt sheetId="3" sqref="N32" start="0" length="0">
    <dxf>
      <numFmt numFmtId="165" formatCode="_(&quot;$&quot;* #,##0_);_(&quot;$&quot;* \(#,##0\);_(&quot;$&quot;* &quot;-&quot;??_);_(@_)"/>
    </dxf>
  </rfmt>
  <rfmt sheetId="3" sqref="N32">
    <dxf>
      <numFmt numFmtId="14" formatCode="0.00%"/>
    </dxf>
  </rfmt>
  <rcc rId="517" sId="3">
    <nc r="N32">
      <f>+C32/$L$32</f>
    </nc>
  </rcc>
  <rfmt sheetId="3" sqref="N33" start="0" length="0">
    <dxf>
      <numFmt numFmtId="14" formatCode="0.00%"/>
    </dxf>
  </rfmt>
  <rfmt sheetId="3" sqref="N34" start="0" length="0">
    <dxf>
      <numFmt numFmtId="14" formatCode="0.00%"/>
    </dxf>
  </rfmt>
  <rfmt sheetId="2" sqref="B54" start="0" length="0">
    <dxf>
      <fill>
        <patternFill patternType="none">
          <bgColor indexed="65"/>
        </patternFill>
      </fill>
      <alignment horizontal="right" vertical="top"/>
      <protection locked="0"/>
    </dxf>
  </rfmt>
  <rcc rId="518" sId="2" odxf="1" s="1" dxf="1">
    <oc r="C54">
      <f>SUM(C37:C53)</f>
    </oc>
    <nc r="C54">
      <f>SUM(C37:C53)</f>
    </nc>
    <odxf>
      <numFmt numFmtId="165" formatCode="_(&quot;$&quot;* #,##0_);_(&quot;$&quot;* \(#,##0\);_(&quot;$&quot;* &quot;-&quot;??_);_(@_)"/>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odxf>
    <ndxf>
      <numFmt numFmtId="166" formatCode="_(* #,##0_);_(* \(#,##0\);_(* &quot;-&quot;??_);_(@_)"/>
      <fill>
        <patternFill patternType="none">
          <bgColor indexed="65"/>
        </patternFill>
      </fill>
      <protection locked="0"/>
    </ndxf>
  </rcc>
  <rcc rId="519" sId="2" odxf="1" dxf="1">
    <oc r="D54">
      <f>SUM(D38:D53)</f>
    </oc>
    <nc r="D54">
      <f>SUM(D38:D53)</f>
    </nc>
    <odxf>
      <fill>
        <patternFill patternType="solid">
          <bgColor rgb="FFFFFF00"/>
        </patternFill>
      </fill>
    </odxf>
    <ndxf>
      <fill>
        <patternFill patternType="none">
          <bgColor indexed="65"/>
        </patternFill>
      </fill>
    </ndxf>
  </rcc>
  <rfmt sheetId="2" sqref="E54" start="0" length="0">
    <dxf>
      <fill>
        <patternFill patternType="none">
          <bgColor indexed="65"/>
        </patternFill>
      </fill>
    </dxf>
  </rfmt>
  <rfmt sheetId="2" sqref="F54" start="0" length="0">
    <dxf>
      <fill>
        <patternFill patternType="none">
          <bgColor indexed="65"/>
        </patternFill>
      </fill>
    </dxf>
  </rfmt>
  <rfmt sheetId="2" sqref="G54" start="0" length="0">
    <dxf>
      <numFmt numFmtId="0" formatCode="General"/>
    </dxf>
  </rfmt>
  <rfmt sheetId="2" sqref="B54">
    <dxf>
      <alignment horizontal="left"/>
    </dxf>
  </rfmt>
  <rcc rId="520" sId="2" odxf="1" dxf="1">
    <oc r="C18">
      <f>SUM(D18:H18)</f>
    </oc>
    <nc r="C18">
      <f>SUM(D18:H18)</f>
    </nc>
    <odxf>
      <fill>
        <patternFill>
          <bgColor theme="5" tint="0.39997558519241921"/>
        </patternFill>
      </fill>
    </odxf>
    <ndxf>
      <fill>
        <patternFill>
          <bgColor theme="9" tint="0.79998168889431442"/>
        </patternFill>
      </fill>
    </ndxf>
  </rcc>
  <rfmt sheetId="2" sqref="D18" start="0" length="0">
    <dxf>
      <fill>
        <patternFill patternType="none">
          <bgColor indexed="65"/>
        </patternFill>
      </fill>
    </dxf>
  </rfmt>
  <rcc rId="521" sId="2" odxf="1" dxf="1">
    <oc r="E18">
      <f>-5124360+1079411</f>
    </oc>
    <nc r="E18">
      <f>-5124360+1079411</f>
    </nc>
    <odxf>
      <fill>
        <patternFill patternType="solid">
          <bgColor theme="5" tint="0.39997558519241921"/>
        </patternFill>
      </fill>
    </odxf>
    <ndxf>
      <fill>
        <patternFill patternType="none">
          <bgColor indexed="65"/>
        </patternFill>
      </fill>
    </ndxf>
  </rcc>
  <rfmt sheetId="2" sqref="F18" start="0" length="0">
    <dxf>
      <fill>
        <patternFill patternType="none">
          <bgColor indexed="65"/>
        </patternFill>
      </fill>
    </dxf>
  </rfmt>
  <rfmt sheetId="2" sqref="G18" start="0" length="0">
    <dxf>
      <fill>
        <patternFill patternType="none">
          <bgColor indexed="65"/>
        </patternFill>
      </fill>
    </dxf>
  </rfmt>
  <rfmt sheetId="2" sqref="D19" start="0" length="0">
    <dxf>
      <fill>
        <patternFill patternType="none">
          <bgColor indexed="65"/>
        </patternFill>
      </fill>
    </dxf>
  </rfmt>
  <rfmt sheetId="2" sqref="E19" start="0" length="0">
    <dxf>
      <fill>
        <patternFill patternType="none">
          <bgColor indexed="65"/>
        </patternFill>
      </fill>
    </dxf>
  </rfmt>
  <rfmt sheetId="2" sqref="F19" start="0" length="0">
    <dxf>
      <fill>
        <patternFill patternType="none">
          <bgColor indexed="65"/>
        </patternFill>
      </fill>
    </dxf>
  </rfmt>
  <rfmt sheetId="2" sqref="G19" start="0" length="0">
    <dxf>
      <fill>
        <patternFill patternType="none">
          <bgColor indexed="65"/>
        </patternFill>
      </fill>
    </dxf>
  </rfmt>
  <rcc rId="522" sId="2" odxf="1" dxf="1">
    <oc r="C19">
      <f>SUM(D19:H19)</f>
    </oc>
    <nc r="C19">
      <f>SUM(D19:H19)</f>
    </nc>
    <odxf>
      <fill>
        <patternFill>
          <bgColor theme="5" tint="0.39997558519241921"/>
        </patternFill>
      </fill>
    </odxf>
    <ndxf>
      <fill>
        <patternFill>
          <bgColor theme="9" tint="0.79998168889431442"/>
        </patternFill>
      </fill>
    </ndxf>
  </rcc>
  <rcc rId="523" sId="3">
    <nc r="O32">
      <f>+$C$36*N32</f>
    </nc>
  </rcc>
  <rcc rId="524" sId="3">
    <nc r="O34">
      <f>+$C$36*N34</f>
    </nc>
  </rcc>
  <rcc rId="525" sId="3">
    <nc r="O33">
      <f>+$C$36*N33</f>
    </nc>
  </rcc>
  <rcc rId="526" sId="3">
    <nc r="O35">
      <f>SUM(O32:O34)</f>
    </nc>
  </rcc>
  <rfmt sheetId="3" sqref="O32:O35">
    <dxf>
      <numFmt numFmtId="4" formatCode="#,##0.00"/>
    </dxf>
  </rfmt>
  <rcc rId="527" sId="3" numFmtId="34">
    <oc r="C32">
      <v>14478283</v>
    </oc>
    <nc r="C32">
      <f>14478283-876218.91</f>
    </nc>
  </rcc>
  <rcc rId="528" sId="3" numFmtId="34">
    <oc r="C33">
      <v>53053727</v>
    </oc>
    <nc r="C33">
      <f>53053727-3210786.74</f>
    </nc>
  </rcc>
  <rcc rId="529" sId="3" numFmtId="34">
    <oc r="C34">
      <v>12081345</v>
    </oc>
    <nc r="C34">
      <f>12081345-731157.35</f>
    </nc>
  </rcc>
  <rcc rId="530" sId="3" numFmtId="34">
    <oc r="C36">
      <v>-4818163</v>
    </oc>
    <nc r="C36"/>
  </rcc>
  <rcc rId="531" sId="3">
    <nc r="L32">
      <f>+E32+E33+E34</f>
    </nc>
  </rcc>
  <rcc rId="532" sId="3">
    <nc r="N32">
      <f>+E32/$L$32</f>
    </nc>
  </rcc>
  <rcc rId="533" sId="3">
    <nc r="N33">
      <f>+E33/$L$32</f>
    </nc>
  </rcc>
  <rcc rId="534" sId="3">
    <nc r="N34">
      <f>+E34/$L$32</f>
    </nc>
  </rcc>
  <rcc rId="535" sId="3" numFmtId="4">
    <nc r="O32">
      <f>+E36*N36</f>
    </nc>
  </rcc>
  <rcc rId="536" sId="3">
    <nc r="O32">
      <f>+E36*N32</f>
    </nc>
  </rcc>
  <rcc rId="537" sId="3" numFmtId="4">
    <nc r="O33">
      <f>+E37*N33</f>
    </nc>
  </rcc>
  <rcc rId="538" sId="3" numFmtId="4">
    <nc r="O34">
      <f>+E38*N34</f>
    </nc>
  </rcc>
  <rcc rId="539" sId="3">
    <nc r="O32">
      <f>+E36*$N$32</f>
    </nc>
  </rcc>
  <rcc rId="540" sId="3">
    <nc r="O33">
      <f>+E37*$N$32</f>
    </nc>
  </rcc>
  <rcc rId="541" sId="3">
    <nc r="O34">
      <f>+E38*$N$32</f>
    </nc>
  </rcc>
  <rcc rId="542" sId="3">
    <oc r="O32">
      <f>+$C$36*N32</f>
    </oc>
    <nc r="O32">
      <f>+$E$36*N32</f>
    </nc>
  </rcc>
  <rcc rId="543" sId="3">
    <oc r="O33">
      <f>+$C$36*N33</f>
    </oc>
    <nc r="O33">
      <f>+$E$36*N33</f>
    </nc>
  </rcc>
  <rcc rId="544" sId="3">
    <oc r="O34">
      <f>+$C$36*N34</f>
    </oc>
    <nc r="O34">
      <f>+$E$36*N34</f>
    </nc>
  </rcc>
  <rcc rId="545" sId="3" numFmtId="4">
    <nc r="O35">
      <f>SUM(O32:O34)</f>
    </nc>
  </rcc>
  <rcc rId="546" sId="3" numFmtId="34">
    <oc r="E32">
      <v>11703246</v>
    </oc>
    <nc r="E32">
      <f>11703246-614373.63</f>
    </nc>
  </rcc>
  <rcc rId="547" sId="3" numFmtId="34">
    <oc r="E33">
      <v>57996924</v>
    </oc>
    <nc r="E33">
      <f>57996924-3044606.67</f>
    </nc>
  </rcc>
  <rcc rId="548" sId="3" numFmtId="34">
    <oc r="E34">
      <v>11389814</v>
    </oc>
    <nc r="E34">
      <f>11389814-597919.7</f>
    </nc>
  </rcc>
  <rcc rId="549" sId="3" numFmtId="34">
    <oc r="E36">
      <v>-4256900</v>
    </oc>
    <nc r="E36"/>
  </rcc>
  <rcc rId="550" sId="3">
    <nc r="L32">
      <f>+F32+F33+F34</f>
    </nc>
  </rcc>
  <rcc rId="551" sId="3" numFmtId="4">
    <nc r="O32">
      <f>+F36*N32</f>
    </nc>
  </rcc>
  <rcc rId="552" sId="3" numFmtId="4">
    <nc r="O33">
      <f>+F37*N33</f>
    </nc>
  </rcc>
  <rcc rId="553" sId="3" numFmtId="4">
    <nc r="O34">
      <f>+F38*N34</f>
    </nc>
  </rcc>
  <rcc rId="554" sId="3">
    <oc r="O32">
      <f>+$E$36*N32</f>
    </oc>
    <nc r="O32">
      <f>+$F$36*N32</f>
    </nc>
  </rcc>
  <rcc rId="555" sId="3">
    <oc r="O33">
      <f>+$E$36*N33</f>
    </oc>
    <nc r="O33">
      <f>+$F$36*N33</f>
    </nc>
  </rcc>
  <rcc rId="556" sId="3">
    <oc r="O34">
      <f>+$E$36*N34</f>
    </oc>
    <nc r="O34">
      <f>+$F$36*N34</f>
    </nc>
  </rcc>
  <rcc rId="557" sId="3">
    <nc r="N32">
      <f>+F32/$L$32</f>
    </nc>
  </rcc>
  <rcc rId="558" sId="3">
    <nc r="N33">
      <f>+F33/$L$32</f>
    </nc>
  </rcc>
  <rcc rId="559" sId="3">
    <nc r="N34">
      <f>+F34/$L$32</f>
    </nc>
  </rcc>
  <rcc rId="560" sId="3">
    <nc r="O35">
      <f>SUM(O32:O34)</f>
    </nc>
  </rcc>
  <rcc rId="561" sId="3" numFmtId="34">
    <oc r="F32">
      <v>3152032</v>
    </oc>
    <nc r="F32">
      <f>3152032-300150.78</f>
    </nc>
  </rcc>
  <rcc rId="562" sId="3" numFmtId="34">
    <oc r="F33">
      <v>37103789</v>
    </oc>
    <nc r="F33">
      <f>37103789-3533191.06</f>
    </nc>
  </rcc>
  <rcc rId="563" sId="3" numFmtId="34">
    <oc r="F34">
      <v>4447994</v>
    </oc>
    <nc r="F34">
      <f>4447994-423558.16</f>
    </nc>
  </rcc>
  <rcc rId="564" sId="3" numFmtId="34">
    <oc r="F36">
      <v>-4256900</v>
    </oc>
    <nc r="F36"/>
  </rcc>
  <rcc rId="565" sId="3" numFmtId="4">
    <oc r="O32">
      <f>+$F$36*N32</f>
    </oc>
    <nc r="O32"/>
  </rcc>
  <rcc rId="566" sId="3" numFmtId="4">
    <oc r="O33">
      <f>+$F$36*N33</f>
    </oc>
    <nc r="O33"/>
  </rcc>
  <rcc rId="567" sId="3" numFmtId="4">
    <oc r="O34">
      <f>+$F$36*N34</f>
    </oc>
    <nc r="O34"/>
  </rcc>
  <rcc rId="568" sId="3">
    <oc r="O35">
      <f>SUM(O32:O34)</f>
    </oc>
    <nc r="O35"/>
  </rcc>
  <rfmt sheetId="3" sqref="A36:XFD36">
    <dxf>
      <fill>
        <patternFill patternType="none">
          <bgColor auto="1"/>
        </patternFill>
      </fill>
    </dxf>
  </rfmt>
  <rcc rId="569" sId="3">
    <oc r="K36" t="inlineStr">
      <is>
        <t>This was added by NCH &amp; GMCB purposefully left this out.</t>
      </is>
    </oc>
    <nc r="K36"/>
  </rcc>
  <rcc rId="570" sId="3">
    <oc r="B36" t="inlineStr">
      <is>
        <t>Bad Debt and Free Care</t>
      </is>
    </oc>
    <nc r="B36"/>
  </rcc>
  <rcc rId="571" sId="3">
    <oc r="D36">
      <f>+E36-C36</f>
    </oc>
    <nc r="D36"/>
  </rcc>
  <rcc rId="572" sId="4" numFmtId="11">
    <nc r="D8">
      <v>5272277</v>
    </nc>
  </rcc>
  <rfmt sheetId="4" sqref="D8">
    <dxf>
      <fill>
        <patternFill patternType="none">
          <bgColor auto="1"/>
        </patternFill>
      </fill>
    </dxf>
  </rfmt>
  <rcc rId="573" sId="4" numFmtId="13">
    <nc r="C8">
      <v>1.9255</v>
    </nc>
  </rcc>
  <rfmt sheetId="4" sqref="C8">
    <dxf>
      <fill>
        <patternFill patternType="none">
          <bgColor auto="1"/>
        </patternFill>
      </fill>
    </dxf>
  </rfmt>
  <rcv guid="{370A90FE-A320-447B-8995-A714325CBEA5}" action="delete"/>
  <rdn rId="0" localSheetId="1" customView="1" name="Z_370A90FE_A320_447B_8995_A714325CBEA5_.wvu.PrintArea" hidden="1" oldHidden="1">
    <formula>Overview!$A$1:$B$13</formula>
    <oldFormula>Overview!$A$1:$B$13</oldFormula>
  </rdn>
  <rdn rId="0" localSheetId="2" customView="1" name="Z_370A90FE_A320_447B_8995_A714325CBEA5_.wvu.PrintArea" hidden="1" oldHidden="1">
    <formula>'1. Reconciliation'!$B$6:$O$117</formula>
    <oldFormula>'1. Reconciliation'!$B$6:$O$117</oldFormula>
  </rdn>
  <rdn rId="0" localSheetId="2" customView="1" name="Z_370A90FE_A320_447B_8995_A714325CBEA5_.wvu.PrintTitles" hidden="1" oldHidden="1">
    <formula>'1. Reconciliation'!$2:$4</formula>
    <oldFormula>'1. Reconciliation'!$2:$4</oldFormula>
  </rdn>
  <rdn rId="0" localSheetId="3" customView="1" name="Z_370A90FE_A320_447B_8995_A714325CBEA5_.wvu.PrintArea" hidden="1" oldHidden="1">
    <formula>'2. Charge and NPR Detail'!$A$2:$H$49</formula>
    <oldFormula>'2. Charge and NPR Detail'!$A$2:$H$49</oldFormula>
  </rdn>
  <rdn rId="0" localSheetId="4" customView="1" name="Z_370A90FE_A320_447B_8995_A714325CBEA5_.wvu.PrintArea" hidden="1" oldHidden="1">
    <formula>'3. Utilization'!$B$1:$D$17</formula>
    <oldFormula>'3. Utilization'!$B$1:$D$17</oldFormula>
  </rdn>
  <rdn rId="0" localSheetId="5" customView="1" name="Z_370A90FE_A320_447B_8995_A714325CBEA5_.wvu.PrintArea" hidden="1" oldHidden="1">
    <formula>'4. Inflation'!$B$1:$D$27</formula>
    <oldFormula>'4. Inflation'!$B$1:$D$27</oldFormula>
  </rdn>
  <rdn rId="0" localSheetId="6" customView="1" name="Z_370A90FE_A320_447B_8995_A714325CBEA5_.wvu.PrintArea" hidden="1" oldHidden="1">
    <formula>'5. Vaccine Clinics and Testing'!$B$7:$D$48</formula>
    <oldFormula>'5. Vaccine Clinics and Testing'!$B$7:$D$48</oldFormula>
  </rdn>
  <rdn rId="0" localSheetId="6" customView="1" name="Z_370A90FE_A320_447B_8995_A714325CBEA5_.wvu.Rows" hidden="1" oldHidden="1">
    <formula>'5. Vaccine Clinics and Testing'!$15:$20,'5. Vaccine Clinics and Testing'!$29:$35</formula>
    <oldFormula>'5. Vaccine Clinics and Testing'!$15:$20,'5. Vaccine Clinics and Testing'!$29:$35</oldFormula>
  </rdn>
  <rdn rId="0" localSheetId="7" customView="1" name="Z_370A90FE_A320_447B_8995_A714325CBEA5_.wvu.PrintArea" hidden="1" oldHidden="1">
    <formula>'6. Value Based Care Participati'!$B$2:$F$15</formula>
    <oldFormula>'6. Value Based Care Participati'!$B$2:$F$15</oldFormula>
  </rdn>
  <rcv guid="{370A90FE-A320-447B-8995-A714325CBEA5}"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70">
    <dxf>
      <fill>
        <patternFill patternType="none">
          <bgColor auto="1"/>
        </patternFill>
      </fill>
    </dxf>
  </rfmt>
  <rcc rId="489" sId="2">
    <oc r="B70" t="inlineStr">
      <is>
        <t>Projection derived as of:</t>
      </is>
    </oc>
    <nc r="B70" t="inlineStr">
      <is>
        <t>Projection derived as of: May 2021 YTD</t>
      </is>
    </nc>
  </rcc>
  <rcc rId="490" sId="5">
    <nc r="D23">
      <f>SUM(D8:D22)</f>
    </nc>
  </rcc>
  <rcc rId="491" sId="5" numFmtId="34">
    <oc r="D7">
      <v>500000</v>
    </oc>
    <nc r="D7"/>
  </rcc>
  <rfmt sheetId="5" sqref="D6:D7">
    <dxf>
      <fill>
        <patternFill patternType="none">
          <bgColor auto="1"/>
        </patternFill>
      </fill>
    </dxf>
  </rfmt>
  <rfmt sheetId="5" sqref="D7">
    <dxf>
      <fill>
        <patternFill patternType="solid">
          <bgColor theme="2" tint="-0.249977111117893"/>
        </patternFill>
      </fill>
    </dxf>
  </rfmt>
  <rcc rId="492" sId="5">
    <nc r="D23">
      <f>SUM(D8:D22)</f>
    </nc>
  </rcc>
  <rfmt sheetId="5" sqref="D23">
    <dxf>
      <fill>
        <patternFill>
          <bgColor theme="9" tint="0.79998168889431442"/>
        </patternFill>
      </fill>
    </dxf>
  </rfmt>
  <rcc rId="493" sId="5" numFmtId="13">
    <oc r="C7">
      <v>0.02</v>
    </oc>
    <nc r="C7"/>
  </rcc>
  <rcc rId="494" sId="5" numFmtId="13">
    <oc r="E7">
      <v>0.6</v>
    </oc>
    <nc r="E7"/>
  </rcc>
  <rcc rId="495" sId="5">
    <oc r="F7">
      <f>C7*E7</f>
    </oc>
    <nc r="F7"/>
  </rcc>
  <rfmt sheetId="5" sqref="B26:E26">
    <dxf>
      <fill>
        <patternFill patternType="none">
          <bgColor auto="1"/>
        </patternFill>
      </fill>
    </dxf>
  </rfmt>
  <rfmt sheetId="5" sqref="F26">
    <dxf>
      <fill>
        <patternFill patternType="none">
          <bgColor auto="1"/>
        </patternFill>
      </fill>
    </dxf>
  </rfmt>
  <rcc rId="496" sId="5">
    <oc r="D23">
      <f>SUM(D8:D22)</f>
    </oc>
    <nc r="D23">
      <f>SUM(D8:D22)</f>
    </nc>
  </rcc>
  <rcc rId="497" sId="2">
    <oc r="C54">
      <f>SUM(C37:C53)</f>
    </oc>
    <nc r="C54">
      <f>SUM(C37:C53)</f>
    </nc>
  </rcc>
  <rcc rId="498" sId="2">
    <oc r="D54">
      <f>SUM(D38:D53)</f>
    </oc>
    <nc r="D54">
      <f>SUM(D38:D53)</f>
    </nc>
  </rcc>
  <rcc rId="499" sId="2">
    <oc r="D39">
      <f>+C39/C$37</f>
    </oc>
    <nc r="D39">
      <f>+C39/C$37</f>
    </nc>
  </rcc>
  <rcc rId="500" sId="4">
    <oc r="D18">
      <f>SUM(D9:D15)</f>
    </oc>
    <nc r="D18">
      <f>SUM(D9:D15)</f>
    </nc>
  </rcc>
  <rcc rId="501" sId="2" xfDxf="1" s="1" dxf="1">
    <nc r="C113" t="e">
      <v>#DIV/0!</v>
    </nc>
    <n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ndxf>
  </rcc>
  <rcc rId="502" sId="2">
    <nc r="C113" t="e">
      <v>#DIV/0!</v>
    </nc>
  </rcc>
  <rcc rId="503" sId="2">
    <nc r="C113">
      <f>(C110)/C95</f>
    </nc>
  </rcc>
  <rcc rId="504" sId="2">
    <oc r="C113">
      <f>(C112-C95)/C95</f>
    </oc>
    <nc r="C113">
      <f>(C112)/C95</f>
    </nc>
  </rcc>
  <rfmt sheetId="2" sqref="C113">
    <dxf>
      <numFmt numFmtId="164" formatCode="0.0%"/>
    </dxf>
  </rfmt>
  <rcc rId="505" sId="2">
    <oc r="C116">
      <f>(C115-(C95-'5. Vaccine Clinics and Testing'!C42))/(C95-'5. Vaccine Clinics and Testing'!C42)</f>
    </oc>
    <nc r="C116">
      <f>(C115)/(C95-'5. Vaccine Clinics and Testing'!C36)</f>
    </nc>
  </rcc>
  <rfmt sheetId="2" sqref="C116">
    <dxf>
      <numFmt numFmtId="164" formatCode="0.0%"/>
    </dxf>
  </rfmt>
  <rfmt sheetId="2" sqref="D113:F113">
    <dxf>
      <fill>
        <patternFill patternType="none">
          <bgColor auto="1"/>
        </patternFill>
      </fill>
    </dxf>
  </rfmt>
  <rfmt sheetId="2" sqref="C116:F116">
    <dxf>
      <fill>
        <patternFill patternType="none">
          <bgColor auto="1"/>
        </patternFill>
      </fill>
    </dxf>
  </rfmt>
  <rcc rId="506" sId="2">
    <oc r="D113" t="inlineStr">
      <is>
        <t>fix formula</t>
      </is>
    </oc>
    <nc r="D113"/>
  </rcc>
  <rcc rId="507" sId="2">
    <oc r="E113">
      <f>C112/C95</f>
    </oc>
    <nc r="E113"/>
  </rcc>
  <rcc rId="508" sId="2">
    <oc r="F113" t="inlineStr">
      <is>
        <t>should be this</t>
      </is>
    </oc>
    <nc r="F113"/>
  </rcc>
  <rcc rId="509" sId="2">
    <oc r="D116" t="inlineStr">
      <is>
        <t>fix formula</t>
      </is>
    </oc>
    <nc r="D116"/>
  </rcc>
  <rcc rId="510" sId="2">
    <oc r="E116">
      <f>C115/C95</f>
    </oc>
    <nc r="E116"/>
  </rcc>
  <rcc rId="511" sId="2">
    <oc r="F116" t="inlineStr">
      <is>
        <t>should be this</t>
      </is>
    </oc>
    <nc r="F116"/>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4973865-8AD1-45FA-8A45-05D76FF96A5F}" action="delete"/>
  <rdn rId="0" localSheetId="1" customView="1" name="Z_44973865_8AD1_45FA_8A45_05D76FF96A5F_.wvu.PrintArea" hidden="1" oldHidden="1">
    <formula>Overview!$A$1:$B$13</formula>
    <oldFormula>Overview!$A$1:$B$13</oldFormula>
  </rdn>
  <rdn rId="0" localSheetId="2" customView="1" name="Z_44973865_8AD1_45FA_8A45_05D76FF96A5F_.wvu.PrintArea" hidden="1" oldHidden="1">
    <formula>'1. Reconciliation'!$B$6:$O$117</formula>
    <oldFormula>'1. Reconciliation'!$B$6:$O$117</oldFormula>
  </rdn>
  <rdn rId="0" localSheetId="2" customView="1" name="Z_44973865_8AD1_45FA_8A45_05D76FF96A5F_.wvu.PrintTitles" hidden="1" oldHidden="1">
    <formula>'1. Reconciliation'!$2:$4</formula>
    <oldFormula>'1. Reconciliation'!$2:$4</oldFormula>
  </rdn>
  <rdn rId="0" localSheetId="3" customView="1" name="Z_44973865_8AD1_45FA_8A45_05D76FF96A5F_.wvu.PrintArea" hidden="1" oldHidden="1">
    <formula>'2. Charge and NPR Detail'!$A$2:$H$49</formula>
    <oldFormula>'2. Charge and NPR Detail'!$A$2:$H$49</oldFormula>
  </rdn>
  <rdn rId="0" localSheetId="4" customView="1" name="Z_44973865_8AD1_45FA_8A45_05D76FF96A5F_.wvu.PrintArea" hidden="1" oldHidden="1">
    <formula>'3. Utilization'!$B$1:$D$17</formula>
    <oldFormula>'3. Utilization'!$B$1:$D$17</oldFormula>
  </rdn>
  <rdn rId="0" localSheetId="5" customView="1" name="Z_44973865_8AD1_45FA_8A45_05D76FF96A5F_.wvu.PrintArea" hidden="1" oldHidden="1">
    <formula>'4. Inflation'!$B$1:$D$27</formula>
    <oldFormula>'4. Inflation'!$B$1:$D$27</oldFormula>
  </rdn>
  <rdn rId="0" localSheetId="6" customView="1" name="Z_44973865_8AD1_45FA_8A45_05D76FF96A5F_.wvu.PrintArea" hidden="1" oldHidden="1">
    <formula>'5. Vaccine Clinics and Testing'!$B$7:$D$48</formula>
    <oldFormula>'5. Vaccine Clinics and Testing'!$B$7:$D$48</oldFormula>
  </rdn>
  <rdn rId="0" localSheetId="6" customView="1" name="Z_44973865_8AD1_45FA_8A45_05D76FF96A5F_.wvu.Rows" hidden="1" oldHidden="1">
    <formula>'5. Vaccine Clinics and Testing'!$15:$20,'5. Vaccine Clinics and Testing'!$29:$35</formula>
    <oldFormula>'5. Vaccine Clinics and Testing'!$15:$20,'5. Vaccine Clinics and Testing'!$29:$35</oldFormula>
  </rdn>
  <rdn rId="0" localSheetId="7" customView="1" name="Z_44973865_8AD1_45FA_8A45_05D76FF96A5F_.wvu.PrintArea" hidden="1" oldHidden="1">
    <formula>'6. Value Based Care Participati'!$B$2:$F$15</formula>
    <oldFormula>'6. Value Based Care Participati'!$B$2:$F$15</oldFormula>
  </rdn>
  <rcv guid="{44973865-8AD1-45FA-8A45-05D76FF96A5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topLeftCell="A4" workbookViewId="0">
      <selection activeCell="B26" sqref="B26"/>
    </sheetView>
  </sheetViews>
  <sheetFormatPr defaultRowHeight="15" x14ac:dyDescent="0.25"/>
  <cols>
    <col min="1" max="1" width="16.28515625" customWidth="1"/>
    <col min="2" max="2" width="66.7109375" style="27" customWidth="1"/>
    <col min="3" max="3" width="17.42578125" customWidth="1"/>
  </cols>
  <sheetData>
    <row r="1" spans="1:3" ht="18.75" x14ac:dyDescent="0.3">
      <c r="A1" s="326" t="s">
        <v>0</v>
      </c>
      <c r="B1" s="326"/>
    </row>
    <row r="2" spans="1:3" x14ac:dyDescent="0.25">
      <c r="A2" s="327" t="s">
        <v>1</v>
      </c>
      <c r="B2" s="327"/>
    </row>
    <row r="3" spans="1:3" ht="166.9" customHeight="1" x14ac:dyDescent="0.25">
      <c r="A3" s="325" t="s">
        <v>213</v>
      </c>
      <c r="B3" s="325"/>
    </row>
    <row r="4" spans="1:3" x14ac:dyDescent="0.25">
      <c r="B4" s="47"/>
    </row>
    <row r="5" spans="1:3" ht="15.75" x14ac:dyDescent="0.25">
      <c r="A5" s="116" t="s">
        <v>2</v>
      </c>
      <c r="B5" s="26" t="s">
        <v>3</v>
      </c>
      <c r="C5" s="46"/>
    </row>
    <row r="6" spans="1:3" ht="15.75" x14ac:dyDescent="0.25">
      <c r="A6" s="116" t="s">
        <v>2</v>
      </c>
      <c r="B6" s="46" t="s">
        <v>4</v>
      </c>
      <c r="C6" s="46"/>
    </row>
    <row r="7" spans="1:3" ht="15.75" x14ac:dyDescent="0.25">
      <c r="A7" s="115" t="s">
        <v>5</v>
      </c>
      <c r="B7" s="46" t="s">
        <v>6</v>
      </c>
      <c r="C7" s="46"/>
    </row>
    <row r="8" spans="1:3" ht="15.75" x14ac:dyDescent="0.25">
      <c r="A8" s="116" t="s">
        <v>2</v>
      </c>
      <c r="B8" s="26" t="s">
        <v>7</v>
      </c>
      <c r="C8" s="46"/>
    </row>
    <row r="9" spans="1:3" ht="15.75" x14ac:dyDescent="0.25">
      <c r="A9" s="116" t="s">
        <v>2</v>
      </c>
      <c r="B9" s="26" t="s">
        <v>8</v>
      </c>
      <c r="C9" s="46"/>
    </row>
    <row r="10" spans="1:3" ht="15.75" x14ac:dyDescent="0.25">
      <c r="A10" s="116" t="s">
        <v>2</v>
      </c>
      <c r="B10" s="26" t="s">
        <v>9</v>
      </c>
      <c r="C10" s="46"/>
    </row>
    <row r="11" spans="1:3" ht="15.75" x14ac:dyDescent="0.25">
      <c r="A11" s="116" t="s">
        <v>2</v>
      </c>
      <c r="B11" s="26" t="s">
        <v>10</v>
      </c>
      <c r="C11" s="46"/>
    </row>
    <row r="12" spans="1:3" ht="15.75" x14ac:dyDescent="0.25">
      <c r="A12" s="116" t="s">
        <v>2</v>
      </c>
      <c r="B12" s="46" t="s">
        <v>11</v>
      </c>
      <c r="C12" s="46"/>
    </row>
    <row r="13" spans="1:3" x14ac:dyDescent="0.25">
      <c r="C13" s="28"/>
    </row>
    <row r="14" spans="1:3" x14ac:dyDescent="0.25">
      <c r="C14" s="28"/>
    </row>
    <row r="15" spans="1:3" x14ac:dyDescent="0.25">
      <c r="C15" s="28"/>
    </row>
  </sheetData>
  <customSheetViews>
    <customSheetView guid="{44973865-8AD1-45FA-8A45-05D76FF96A5F}" showPageBreaks="1" printArea="1" topLeftCell="A4">
      <selection activeCell="B26" sqref="B26"/>
      <pageMargins left="0.7" right="0.7" top="0.75" bottom="0.75" header="0.3" footer="0.3"/>
      <pageSetup orientation="portrait" horizontalDpi="1200" verticalDpi="1200" r:id="rId1"/>
      <headerFooter>
        <oddFooter>&amp;L&amp;D&amp;R&amp;F,&amp;A</oddFooter>
      </headerFooter>
    </customSheetView>
    <customSheetView guid="{7A66AF9E-81E8-451B-9A4F-DFE08BFB5947}" showPageBreaks="1" printArea="1" topLeftCell="A4">
      <selection activeCell="A3" sqref="A3:B3"/>
      <pageMargins left="0.7" right="0.7" top="0.75" bottom="0.75" header="0.3" footer="0.3"/>
      <pageSetup orientation="portrait" horizontalDpi="1200" verticalDpi="1200" r:id="rId2"/>
      <headerFooter>
        <oddFooter>&amp;L&amp;D&amp;R&amp;F,&amp;A</oddFooter>
      </headerFooter>
    </customSheetView>
    <customSheetView guid="{670863B2-8243-412A-8B8D-30885F188694}" topLeftCell="A4">
      <selection activeCell="B26" sqref="B26"/>
      <pageMargins left="0.7" right="0.7" top="0.75" bottom="0.75" header="0.3" footer="0.3"/>
      <pageSetup orientation="portrait" horizontalDpi="1200" verticalDpi="1200" r:id="rId3"/>
      <headerFooter>
        <oddFooter>&amp;L&amp;D&amp;R&amp;F,&amp;A</oddFooter>
      </headerFooter>
    </customSheetView>
    <customSheetView guid="{7E96D643-834B-40CD-8E58-19C1F2E2A6F1}" topLeftCell="A4">
      <selection activeCell="B26" sqref="B26"/>
      <pageMargins left="0.7" right="0.7" top="0.75" bottom="0.75" header="0.3" footer="0.3"/>
      <pageSetup orientation="portrait" horizontalDpi="1200" verticalDpi="1200" r:id="rId4"/>
      <headerFooter>
        <oddFooter>&amp;L&amp;D&amp;R&amp;F,&amp;A</oddFooter>
      </headerFooter>
    </customSheetView>
    <customSheetView guid="{370A90FE-A320-447B-8995-A714325CBEA5}" showPageBreaks="1" printArea="1" topLeftCell="A4">
      <selection activeCell="A3" sqref="A3:B3"/>
      <pageMargins left="0.7" right="0.7" top="0.75" bottom="0.75" header="0.3" footer="0.3"/>
      <pageSetup orientation="portrait" horizontalDpi="1200" verticalDpi="1200" r:id="rId5"/>
      <headerFooter>
        <oddFooter>&amp;L&amp;D&amp;R&amp;F,&amp;A</oddFooter>
      </headerFooter>
    </customSheetView>
  </customSheetViews>
  <mergeCells count="3">
    <mergeCell ref="A3:B3"/>
    <mergeCell ref="A1:B1"/>
    <mergeCell ref="A2:B2"/>
  </mergeCells>
  <pageMargins left="0.7" right="0.7" top="0.75" bottom="0.75" header="0.3" footer="0.3"/>
  <pageSetup orientation="portrait" horizontalDpi="1200" verticalDpi="1200" r:id="rId6"/>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195</v>
      </c>
    </row>
    <row r="3" spans="2:5" x14ac:dyDescent="0.25">
      <c r="B3" t="s">
        <v>196</v>
      </c>
      <c r="C3" t="s">
        <v>197</v>
      </c>
      <c r="D3" t="s">
        <v>165</v>
      </c>
      <c r="E3" t="s">
        <v>164</v>
      </c>
    </row>
    <row r="4" spans="2:5" x14ac:dyDescent="0.25">
      <c r="B4" s="16" t="s">
        <v>198</v>
      </c>
      <c r="C4" s="25">
        <v>180</v>
      </c>
      <c r="D4" s="25">
        <v>100</v>
      </c>
      <c r="E4" s="16" t="s">
        <v>199</v>
      </c>
    </row>
    <row r="5" spans="2:5" x14ac:dyDescent="0.25">
      <c r="B5" s="16" t="s">
        <v>200</v>
      </c>
      <c r="C5" s="25">
        <v>163</v>
      </c>
      <c r="D5" s="25">
        <v>100</v>
      </c>
      <c r="E5" s="25">
        <v>85</v>
      </c>
    </row>
    <row r="6" spans="2:5" x14ac:dyDescent="0.25">
      <c r="B6" s="16" t="s">
        <v>201</v>
      </c>
      <c r="C6" s="25">
        <v>186</v>
      </c>
      <c r="D6" s="25">
        <v>100</v>
      </c>
      <c r="E6" s="25">
        <v>58</v>
      </c>
    </row>
    <row r="7" spans="2:5" x14ac:dyDescent="0.25">
      <c r="B7" s="16" t="s">
        <v>202</v>
      </c>
      <c r="C7" s="25">
        <v>92</v>
      </c>
      <c r="D7" s="25">
        <v>100</v>
      </c>
      <c r="E7" s="25">
        <v>52</v>
      </c>
    </row>
    <row r="8" spans="2:5" x14ac:dyDescent="0.25">
      <c r="B8" s="16" t="s">
        <v>203</v>
      </c>
      <c r="C8" s="25">
        <v>166</v>
      </c>
      <c r="D8" s="25">
        <v>100</v>
      </c>
      <c r="E8" s="25">
        <v>76</v>
      </c>
    </row>
    <row r="9" spans="2:5" x14ac:dyDescent="0.25">
      <c r="B9" s="16" t="s">
        <v>204</v>
      </c>
      <c r="C9" s="25">
        <v>130</v>
      </c>
      <c r="D9" s="25">
        <v>100</v>
      </c>
      <c r="E9" s="25">
        <v>75</v>
      </c>
    </row>
    <row r="10" spans="2:5" x14ac:dyDescent="0.25">
      <c r="B10" s="16" t="s">
        <v>205</v>
      </c>
      <c r="C10" s="25">
        <v>160</v>
      </c>
      <c r="D10" s="25">
        <v>100</v>
      </c>
      <c r="E10" s="25">
        <v>79</v>
      </c>
    </row>
    <row r="11" spans="2:5" x14ac:dyDescent="0.25">
      <c r="B11" s="16" t="s">
        <v>206</v>
      </c>
      <c r="C11" s="25">
        <v>120</v>
      </c>
      <c r="D11" s="25">
        <v>100</v>
      </c>
      <c r="E11" s="25">
        <v>81</v>
      </c>
    </row>
    <row r="12" spans="2:5" x14ac:dyDescent="0.25">
      <c r="B12" s="16" t="s">
        <v>207</v>
      </c>
      <c r="C12" s="25">
        <v>160</v>
      </c>
      <c r="D12" s="25">
        <v>100</v>
      </c>
      <c r="E12" s="25">
        <v>72</v>
      </c>
    </row>
    <row r="13" spans="2:5" x14ac:dyDescent="0.25">
      <c r="B13" s="16" t="s">
        <v>208</v>
      </c>
      <c r="C13" s="25">
        <v>150</v>
      </c>
      <c r="D13" s="25">
        <v>100</v>
      </c>
      <c r="E13" s="16">
        <v>55</v>
      </c>
    </row>
    <row r="14" spans="2:5" x14ac:dyDescent="0.25">
      <c r="B14" s="16" t="s">
        <v>209</v>
      </c>
      <c r="C14" s="25">
        <v>264</v>
      </c>
      <c r="D14" s="25">
        <v>100</v>
      </c>
      <c r="E14" s="25">
        <v>44</v>
      </c>
    </row>
    <row r="15" spans="2:5" x14ac:dyDescent="0.25">
      <c r="B15" s="16" t="s">
        <v>210</v>
      </c>
      <c r="C15" s="25">
        <v>178</v>
      </c>
      <c r="D15" s="25">
        <v>100</v>
      </c>
      <c r="E15" s="25">
        <v>108</v>
      </c>
    </row>
    <row r="16" spans="2:5" x14ac:dyDescent="0.25">
      <c r="B16" s="16" t="s">
        <v>211</v>
      </c>
      <c r="C16" s="25">
        <v>185</v>
      </c>
      <c r="D16" s="25">
        <v>100</v>
      </c>
      <c r="E16" s="25">
        <v>89</v>
      </c>
    </row>
    <row r="17" spans="2:5" x14ac:dyDescent="0.25">
      <c r="B17" s="16" t="s">
        <v>212</v>
      </c>
      <c r="C17" s="25">
        <v>228</v>
      </c>
      <c r="D17" s="25">
        <v>100</v>
      </c>
      <c r="E17" s="25">
        <v>76</v>
      </c>
    </row>
  </sheetData>
  <sortState xmlns:xlrd2="http://schemas.microsoft.com/office/spreadsheetml/2017/richdata2" ref="B4:E17">
    <sortCondition ref="B4:B17"/>
  </sortState>
  <customSheetViews>
    <customSheetView guid="{44973865-8AD1-45FA-8A45-05D76FF96A5F}" scale="130" state="hidden">
      <selection activeCell="H15" sqref="H15"/>
      <pageMargins left="0.7" right="0.7" top="0.75" bottom="0.75" header="0.3" footer="0.3"/>
    </customSheetView>
    <customSheetView guid="{7A66AF9E-81E8-451B-9A4F-DFE08BFB5947}" scale="130" state="hidden">
      <selection activeCell="H15" sqref="H15"/>
      <pageMargins left="0.7" right="0.7" top="0.75" bottom="0.75" header="0.3" footer="0.3"/>
    </customSheetView>
    <customSheetView guid="{670863B2-8243-412A-8B8D-30885F188694}" scale="130" state="hidden">
      <selection activeCell="H15" sqref="H15"/>
      <pageMargins left="0.7" right="0.7" top="0.75" bottom="0.75" header="0.3" footer="0.3"/>
    </customSheetView>
    <customSheetView guid="{7E96D643-834B-40CD-8E58-19C1F2E2A6F1}" scale="130" state="hidden">
      <selection activeCell="H15" sqref="H15"/>
      <pageMargins left="0.7" right="0.7" top="0.75" bottom="0.75" header="0.3" footer="0.3"/>
    </customSheetView>
    <customSheetView guid="{370A90FE-A320-447B-8995-A714325CBEA5}" scale="130" state="hidden">
      <selection activeCell="H15" sqref="H1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pageSetUpPr fitToPage="1"/>
  </sheetPr>
  <dimension ref="A2:W116"/>
  <sheetViews>
    <sheetView showGridLines="0" tabSelected="1" topLeftCell="B1" zoomScaleNormal="100" zoomScaleSheetLayoutView="80" workbookViewId="0">
      <selection activeCell="B34" sqref="B34:F64"/>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29" t="s">
        <v>12</v>
      </c>
      <c r="C2" s="329"/>
      <c r="D2" s="329"/>
      <c r="E2" s="329"/>
      <c r="F2" s="329"/>
      <c r="G2" s="329"/>
      <c r="H2" s="329"/>
      <c r="I2" s="329"/>
      <c r="J2" s="329"/>
      <c r="K2" s="329"/>
      <c r="L2" s="329"/>
      <c r="M2" s="329"/>
      <c r="N2" s="329"/>
      <c r="O2" s="329"/>
    </row>
    <row r="3" spans="1:15" ht="21" x14ac:dyDescent="0.35">
      <c r="B3" s="330" t="s">
        <v>13</v>
      </c>
      <c r="C3" s="331"/>
      <c r="D3" s="331"/>
      <c r="E3" s="331"/>
      <c r="F3" s="331"/>
      <c r="G3" s="331"/>
      <c r="H3" s="331"/>
      <c r="I3" s="331"/>
      <c r="J3" s="331"/>
      <c r="K3" s="331"/>
      <c r="L3" s="331"/>
      <c r="M3" s="331"/>
      <c r="N3" s="331"/>
      <c r="O3" s="332"/>
    </row>
    <row r="4" spans="1:15" ht="21" x14ac:dyDescent="0.35">
      <c r="B4" s="336" t="s">
        <v>14</v>
      </c>
      <c r="C4" s="337"/>
      <c r="D4" s="337"/>
      <c r="E4" s="337"/>
      <c r="F4" s="337"/>
      <c r="G4" s="337"/>
      <c r="H4" s="337"/>
      <c r="I4" s="337"/>
      <c r="J4" s="337"/>
      <c r="K4" s="337"/>
      <c r="L4" s="337"/>
      <c r="M4" s="337"/>
      <c r="N4" s="337"/>
      <c r="O4" s="338"/>
    </row>
    <row r="6" spans="1:15" ht="18.75" x14ac:dyDescent="0.3">
      <c r="B6" s="333" t="s">
        <v>15</v>
      </c>
      <c r="C6" s="334"/>
      <c r="D6" s="334"/>
      <c r="E6" s="334"/>
      <c r="F6" s="334"/>
      <c r="G6" s="334"/>
      <c r="H6" s="334"/>
      <c r="I6" s="334"/>
      <c r="J6" s="334"/>
      <c r="K6" s="334"/>
      <c r="L6" s="334"/>
      <c r="M6" s="334"/>
      <c r="N6" s="334"/>
      <c r="O6" s="335"/>
    </row>
    <row r="7" spans="1:15" s="58" customFormat="1" ht="18.75" x14ac:dyDescent="0.3">
      <c r="B7" s="57"/>
      <c r="C7" s="57"/>
      <c r="D7" s="57"/>
      <c r="E7" s="57"/>
      <c r="F7" s="57"/>
      <c r="G7" s="57"/>
      <c r="H7" s="57"/>
      <c r="I7" s="57"/>
      <c r="J7" s="57"/>
      <c r="K7" s="57"/>
      <c r="L7" s="57"/>
      <c r="M7" s="57"/>
      <c r="N7" s="57"/>
      <c r="O7" s="57"/>
    </row>
    <row r="8" spans="1:15" ht="18.75" x14ac:dyDescent="0.3">
      <c r="B8" s="100" t="s">
        <v>16</v>
      </c>
      <c r="C8" s="4"/>
    </row>
    <row r="9" spans="1:15" ht="22.15" customHeight="1" x14ac:dyDescent="0.3">
      <c r="B9" s="4"/>
      <c r="C9" s="4"/>
      <c r="E9" s="86"/>
      <c r="F9" s="86"/>
      <c r="G9" s="86"/>
      <c r="H9" s="86"/>
      <c r="I9" s="86"/>
      <c r="K9" s="28"/>
    </row>
    <row r="10" spans="1:15" s="107" customFormat="1" ht="30" x14ac:dyDescent="0.25">
      <c r="B10" s="105" t="s">
        <v>17</v>
      </c>
      <c r="C10" s="105" t="s">
        <v>18</v>
      </c>
      <c r="D10" s="105" t="s">
        <v>19</v>
      </c>
      <c r="E10" s="105" t="s">
        <v>20</v>
      </c>
      <c r="F10" s="105" t="s">
        <v>21</v>
      </c>
      <c r="G10" s="105" t="s">
        <v>217</v>
      </c>
      <c r="H10" s="105" t="s">
        <v>238</v>
      </c>
      <c r="I10" s="106"/>
      <c r="J10" s="108"/>
    </row>
    <row r="11" spans="1:15" x14ac:dyDescent="0.25">
      <c r="B11" s="5" t="s">
        <v>22</v>
      </c>
      <c r="C11" s="91">
        <f>SUM(D11:H11)</f>
        <v>82736965</v>
      </c>
      <c r="D11" s="97">
        <v>27671508</v>
      </c>
      <c r="E11" s="98">
        <v>12834701</v>
      </c>
      <c r="F11" s="98">
        <f>37417957+1566776</f>
        <v>38984733</v>
      </c>
      <c r="G11" s="98">
        <v>2339310</v>
      </c>
      <c r="H11" s="98">
        <v>906713</v>
      </c>
      <c r="J11" s="28"/>
    </row>
    <row r="12" spans="1:15" ht="14.45" customHeight="1" x14ac:dyDescent="0.25">
      <c r="A12" s="339"/>
      <c r="B12" s="8" t="s">
        <v>56</v>
      </c>
      <c r="C12" s="91">
        <f>SUM(D12:H12)</f>
        <v>3132581</v>
      </c>
      <c r="D12" s="92">
        <v>950141</v>
      </c>
      <c r="E12" s="93">
        <v>0</v>
      </c>
      <c r="F12" s="94">
        <f>2891938-842684+107252-21728</f>
        <v>2134778</v>
      </c>
      <c r="G12" s="94">
        <v>47662</v>
      </c>
      <c r="H12" s="94">
        <v>0</v>
      </c>
      <c r="L12" s="22"/>
      <c r="M12" s="23"/>
    </row>
    <row r="13" spans="1:15" x14ac:dyDescent="0.25">
      <c r="A13" s="339"/>
      <c r="B13" s="8" t="s">
        <v>57</v>
      </c>
      <c r="C13" s="91">
        <f>SUM(D13:H13)</f>
        <v>-220073</v>
      </c>
      <c r="D13" s="92"/>
      <c r="E13" s="93"/>
      <c r="F13" s="94">
        <v>0</v>
      </c>
      <c r="G13" s="94"/>
      <c r="H13" s="94">
        <f>-906713+686640</f>
        <v>-220073</v>
      </c>
      <c r="L13" s="22"/>
      <c r="M13" s="23"/>
    </row>
    <row r="14" spans="1:15" x14ac:dyDescent="0.25">
      <c r="A14" s="339"/>
      <c r="B14" s="8" t="s">
        <v>58</v>
      </c>
      <c r="C14" s="91">
        <f>SUM(D14:H14)</f>
        <v>3240990</v>
      </c>
      <c r="D14" s="92">
        <v>2593631</v>
      </c>
      <c r="E14" s="93">
        <v>-91313</v>
      </c>
      <c r="F14" s="94">
        <f>2065247-260418</f>
        <v>1804829</v>
      </c>
      <c r="G14" s="94">
        <v>-1066157</v>
      </c>
      <c r="H14" s="94"/>
      <c r="L14" s="22"/>
      <c r="M14" s="23"/>
    </row>
    <row r="15" spans="1:15" x14ac:dyDescent="0.25">
      <c r="A15" s="339"/>
      <c r="B15" s="8" t="s">
        <v>59</v>
      </c>
      <c r="C15" s="91">
        <f t="shared" ref="C15:C19" si="0">SUM(D15:H15)</f>
        <v>4250524</v>
      </c>
      <c r="D15" s="92"/>
      <c r="E15" s="93">
        <v>4250524</v>
      </c>
      <c r="F15" s="94">
        <v>0</v>
      </c>
      <c r="G15" s="94"/>
      <c r="H15" s="94"/>
      <c r="L15" s="22"/>
      <c r="M15" s="23"/>
    </row>
    <row r="16" spans="1:15" x14ac:dyDescent="0.25">
      <c r="A16" s="339"/>
      <c r="B16" s="10" t="s">
        <v>25</v>
      </c>
      <c r="C16" s="91">
        <f t="shared" si="0"/>
        <v>0</v>
      </c>
      <c r="D16" s="92"/>
      <c r="E16" s="93"/>
      <c r="F16" s="95">
        <v>0</v>
      </c>
      <c r="G16" s="95"/>
      <c r="H16" s="95"/>
      <c r="L16" s="22"/>
      <c r="M16" s="23"/>
    </row>
    <row r="17" spans="1:23" x14ac:dyDescent="0.25">
      <c r="A17" s="339"/>
      <c r="B17" s="10" t="s">
        <v>26</v>
      </c>
      <c r="C17" s="91">
        <f t="shared" si="0"/>
        <v>0</v>
      </c>
      <c r="D17" s="92"/>
      <c r="E17" s="93"/>
      <c r="F17" s="94">
        <v>0</v>
      </c>
      <c r="G17" s="94"/>
      <c r="H17" s="94"/>
      <c r="L17" s="22"/>
      <c r="M17" s="23"/>
    </row>
    <row r="18" spans="1:23" x14ac:dyDescent="0.25">
      <c r="A18" s="339"/>
      <c r="B18" s="10" t="s">
        <v>27</v>
      </c>
      <c r="C18" s="91">
        <f t="shared" si="0"/>
        <v>-4896946</v>
      </c>
      <c r="D18" s="92">
        <v>-315310</v>
      </c>
      <c r="E18" s="93">
        <f>-5124360+1079411</f>
        <v>-4044949</v>
      </c>
      <c r="F18" s="94">
        <v>-536687</v>
      </c>
      <c r="G18" s="94"/>
      <c r="H18" s="94"/>
      <c r="L18" s="22"/>
      <c r="M18" s="23"/>
    </row>
    <row r="19" spans="1:23" x14ac:dyDescent="0.25">
      <c r="A19" s="339"/>
      <c r="B19" s="10" t="s">
        <v>60</v>
      </c>
      <c r="C19" s="91">
        <f t="shared" si="0"/>
        <v>561263</v>
      </c>
      <c r="D19" s="92"/>
      <c r="E19" s="93"/>
      <c r="F19" s="94"/>
      <c r="G19" s="94">
        <v>561263</v>
      </c>
      <c r="H19" s="94"/>
      <c r="L19" s="22"/>
      <c r="M19" s="23"/>
    </row>
    <row r="20" spans="1:23" x14ac:dyDescent="0.25">
      <c r="B20" s="279" t="s">
        <v>89</v>
      </c>
      <c r="C20" s="91">
        <f>SUM(D20:H20)</f>
        <v>-20608</v>
      </c>
      <c r="D20" s="92"/>
      <c r="E20" s="93">
        <v>-20608</v>
      </c>
      <c r="F20" s="95">
        <v>0</v>
      </c>
      <c r="G20" s="95"/>
      <c r="H20" s="95"/>
      <c r="O20" s="22"/>
      <c r="P20" s="23"/>
    </row>
    <row r="21" spans="1:23" x14ac:dyDescent="0.25">
      <c r="B21" s="90" t="s">
        <v>28</v>
      </c>
      <c r="C21" s="91">
        <f>SUM(D21:H21)</f>
        <v>0</v>
      </c>
      <c r="D21" s="92"/>
      <c r="E21" s="93"/>
      <c r="F21" s="95">
        <v>0</v>
      </c>
      <c r="G21" s="95"/>
      <c r="H21" s="95"/>
      <c r="O21" s="22"/>
      <c r="P21" s="23"/>
    </row>
    <row r="22" spans="1:23" x14ac:dyDescent="0.25">
      <c r="B22" s="90" t="s">
        <v>28</v>
      </c>
      <c r="C22" s="91">
        <f>SUM(D22:H22)</f>
        <v>0</v>
      </c>
      <c r="D22" s="92"/>
      <c r="E22" s="93"/>
      <c r="F22" s="95">
        <v>0</v>
      </c>
      <c r="G22" s="95"/>
      <c r="H22" s="95"/>
      <c r="O22" s="22"/>
      <c r="P22" s="23"/>
    </row>
    <row r="23" spans="1:23" x14ac:dyDescent="0.25">
      <c r="B23" s="11" t="s">
        <v>29</v>
      </c>
      <c r="C23" s="6">
        <f t="shared" ref="C23:H23" si="1">SUM(C11:C22)</f>
        <v>88784696</v>
      </c>
      <c r="D23" s="54">
        <f t="shared" si="1"/>
        <v>30899970</v>
      </c>
      <c r="E23" s="54">
        <f t="shared" si="1"/>
        <v>12928355</v>
      </c>
      <c r="F23" s="54">
        <f>SUM(F11:F22)</f>
        <v>42387653</v>
      </c>
      <c r="G23" s="54">
        <f t="shared" si="1"/>
        <v>1882078</v>
      </c>
      <c r="H23" s="54">
        <f t="shared" si="1"/>
        <v>686640</v>
      </c>
      <c r="J23" s="14"/>
      <c r="K23" s="14"/>
      <c r="L23" s="14"/>
      <c r="M23" s="14"/>
      <c r="O23" s="22"/>
      <c r="P23" s="23"/>
    </row>
    <row r="24" spans="1:23" x14ac:dyDescent="0.25">
      <c r="C24" s="14"/>
      <c r="D24" s="15"/>
      <c r="J24" s="14"/>
      <c r="O24" s="22"/>
      <c r="P24" s="23"/>
    </row>
    <row r="25" spans="1:23" x14ac:dyDescent="0.25">
      <c r="B25" s="29" t="s">
        <v>30</v>
      </c>
      <c r="C25" s="66">
        <f t="shared" ref="C25:H25" si="2">+C23-C11</f>
        <v>6047731</v>
      </c>
      <c r="D25" s="19">
        <f t="shared" si="2"/>
        <v>3228462</v>
      </c>
      <c r="E25" s="19">
        <f t="shared" si="2"/>
        <v>93654</v>
      </c>
      <c r="F25" s="19">
        <f t="shared" si="2"/>
        <v>3402920</v>
      </c>
      <c r="G25" s="19">
        <f t="shared" si="2"/>
        <v>-457232</v>
      </c>
      <c r="H25" s="19">
        <f t="shared" si="2"/>
        <v>-220073</v>
      </c>
      <c r="J25" s="88"/>
      <c r="O25" s="22"/>
      <c r="P25" s="23"/>
    </row>
    <row r="26" spans="1:23" x14ac:dyDescent="0.25">
      <c r="B26" s="55" t="s">
        <v>31</v>
      </c>
      <c r="C26" s="308">
        <f t="shared" ref="C26:H26" si="3">C25/C11</f>
        <v>7.3095876794610493E-2</v>
      </c>
      <c r="D26" s="56">
        <f t="shared" si="3"/>
        <v>0.11667098157426042</v>
      </c>
      <c r="E26" s="56">
        <f t="shared" si="3"/>
        <v>7.2969366407522858E-3</v>
      </c>
      <c r="F26" s="56">
        <f t="shared" si="3"/>
        <v>8.7288529076241211E-2</v>
      </c>
      <c r="G26" s="56">
        <f t="shared" si="3"/>
        <v>-0.1954559250377248</v>
      </c>
      <c r="H26" s="56">
        <f t="shared" si="3"/>
        <v>-0.24271517007035301</v>
      </c>
      <c r="J26" s="14"/>
      <c r="O26" s="22"/>
      <c r="P26" s="23"/>
    </row>
    <row r="27" spans="1:23" x14ac:dyDescent="0.25">
      <c r="B27" s="213"/>
      <c r="C27" s="61"/>
      <c r="D27" s="61"/>
      <c r="E27" s="61"/>
      <c r="F27" s="61"/>
      <c r="G27" s="61"/>
      <c r="H27" s="61"/>
      <c r="O27" s="22"/>
      <c r="P27" s="23"/>
    </row>
    <row r="28" spans="1:23" x14ac:dyDescent="0.25">
      <c r="B28" s="29" t="s">
        <v>32</v>
      </c>
      <c r="C28" s="66">
        <f>'5. Vaccine Clinics and Testing'!D23</f>
        <v>42121</v>
      </c>
      <c r="D28" s="61"/>
      <c r="E28" s="61"/>
      <c r="F28" s="61"/>
      <c r="G28" s="61"/>
      <c r="H28" s="61"/>
      <c r="O28" s="22"/>
      <c r="P28" s="23"/>
    </row>
    <row r="29" spans="1:23" ht="30" x14ac:dyDescent="0.25">
      <c r="B29" s="214" t="s">
        <v>33</v>
      </c>
      <c r="C29" s="215">
        <f>C23-C28</f>
        <v>88742575</v>
      </c>
      <c r="D29" s="15"/>
      <c r="E29" s="15"/>
      <c r="K29" s="23"/>
      <c r="L29" s="23"/>
      <c r="M29" s="14"/>
      <c r="N29" s="24"/>
      <c r="V29" s="22"/>
      <c r="W29" s="23"/>
    </row>
    <row r="30" spans="1:23" x14ac:dyDescent="0.25">
      <c r="B30" s="213"/>
      <c r="C30" s="61"/>
      <c r="D30" s="15"/>
      <c r="E30" s="15"/>
      <c r="K30" s="23"/>
      <c r="L30" s="23"/>
      <c r="M30" s="14"/>
      <c r="N30" s="24"/>
      <c r="V30" s="22"/>
      <c r="W30" s="23"/>
    </row>
    <row r="31" spans="1:23" x14ac:dyDescent="0.25">
      <c r="B31" s="29" t="s">
        <v>34</v>
      </c>
      <c r="C31" s="66">
        <f>C29-C11</f>
        <v>6005610</v>
      </c>
      <c r="D31" s="15"/>
      <c r="E31" s="15"/>
      <c r="O31" s="22"/>
      <c r="P31" s="23"/>
    </row>
    <row r="32" spans="1:23" x14ac:dyDescent="0.25">
      <c r="B32" s="55" t="s">
        <v>35</v>
      </c>
      <c r="C32" s="56">
        <f>+C31/C11</f>
        <v>7.2586781494825198E-2</v>
      </c>
      <c r="D32" s="15"/>
      <c r="E32" s="15"/>
      <c r="O32" s="22"/>
      <c r="P32" s="23"/>
    </row>
    <row r="33" spans="2:23" x14ac:dyDescent="0.25">
      <c r="B33" s="213"/>
      <c r="C33" s="61"/>
      <c r="D33" s="61"/>
      <c r="E33" s="61"/>
      <c r="F33" s="61"/>
      <c r="G33" s="61"/>
      <c r="H33" s="61"/>
      <c r="O33" s="22"/>
      <c r="P33" s="23"/>
    </row>
    <row r="34" spans="2:23" ht="28.15" customHeight="1" x14ac:dyDescent="0.3">
      <c r="B34" s="100" t="s">
        <v>36</v>
      </c>
      <c r="C34" s="4"/>
      <c r="D34" s="15"/>
      <c r="E34" s="15"/>
      <c r="V34" s="22"/>
      <c r="W34" s="23"/>
    </row>
    <row r="35" spans="2:23" ht="18.75" x14ac:dyDescent="0.3">
      <c r="B35" s="100"/>
      <c r="C35" s="4"/>
      <c r="D35" s="15"/>
      <c r="E35" s="15"/>
      <c r="V35" s="22"/>
      <c r="W35" s="23"/>
    </row>
    <row r="36" spans="2:23" s="89" customFormat="1" x14ac:dyDescent="0.25">
      <c r="B36" s="102" t="s">
        <v>37</v>
      </c>
      <c r="C36" s="102" t="s">
        <v>38</v>
      </c>
      <c r="D36" s="102" t="s">
        <v>39</v>
      </c>
      <c r="E36" s="52"/>
      <c r="V36" s="103"/>
      <c r="W36" s="104"/>
    </row>
    <row r="37" spans="2:23" x14ac:dyDescent="0.25">
      <c r="B37" s="5" t="s">
        <v>40</v>
      </c>
      <c r="C37" s="91">
        <v>88834101</v>
      </c>
      <c r="D37" s="7"/>
      <c r="E37" s="61"/>
      <c r="V37" s="22"/>
      <c r="W37" s="23"/>
    </row>
    <row r="38" spans="2:23" x14ac:dyDescent="0.25">
      <c r="B38" s="8" t="s">
        <v>41</v>
      </c>
      <c r="C38" s="96"/>
      <c r="D38" s="99">
        <f>+C38/C$37</f>
        <v>0</v>
      </c>
      <c r="E38" s="53"/>
      <c r="V38" s="22"/>
    </row>
    <row r="39" spans="2:23" x14ac:dyDescent="0.25">
      <c r="B39" s="305" t="s">
        <v>42</v>
      </c>
      <c r="C39" s="306">
        <f>'4. Inflation'!D23</f>
        <v>1926398</v>
      </c>
      <c r="D39" s="307">
        <f>+C39/C$37</f>
        <v>2.1685343559676482E-2</v>
      </c>
      <c r="E39" s="275" t="s">
        <v>239</v>
      </c>
      <c r="V39" s="22"/>
    </row>
    <row r="40" spans="2:23" x14ac:dyDescent="0.25">
      <c r="B40" s="10" t="s">
        <v>43</v>
      </c>
      <c r="C40" s="96">
        <v>478210</v>
      </c>
      <c r="D40" s="9">
        <f t="shared" ref="D40:D53" si="4">+C40/C$37</f>
        <v>5.3831804973182538E-3</v>
      </c>
      <c r="E40" s="53"/>
      <c r="V40" s="22"/>
    </row>
    <row r="41" spans="2:23" x14ac:dyDescent="0.25">
      <c r="B41" s="10" t="s">
        <v>44</v>
      </c>
      <c r="C41" s="96">
        <v>803676</v>
      </c>
      <c r="D41" s="9">
        <f t="shared" si="4"/>
        <v>9.0469312004406964E-3</v>
      </c>
      <c r="E41" s="53"/>
      <c r="V41" s="22"/>
    </row>
    <row r="42" spans="2:23" x14ac:dyDescent="0.25">
      <c r="B42" s="10" t="s">
        <v>45</v>
      </c>
      <c r="C42" s="96">
        <v>-212791</v>
      </c>
      <c r="D42" s="9">
        <f t="shared" si="4"/>
        <v>-2.3953751724239323E-3</v>
      </c>
      <c r="E42" s="53"/>
      <c r="V42" s="22"/>
    </row>
    <row r="43" spans="2:23" x14ac:dyDescent="0.25">
      <c r="B43" s="10" t="s">
        <v>46</v>
      </c>
      <c r="C43" s="96"/>
      <c r="D43" s="9">
        <f t="shared" si="4"/>
        <v>0</v>
      </c>
      <c r="E43" s="53"/>
      <c r="V43" s="22"/>
    </row>
    <row r="44" spans="2:23" x14ac:dyDescent="0.25">
      <c r="B44" s="10" t="s">
        <v>47</v>
      </c>
      <c r="C44" s="96">
        <v>561320</v>
      </c>
      <c r="D44" s="9">
        <f t="shared" si="4"/>
        <v>6.3187446451447738E-3</v>
      </c>
      <c r="E44" s="53"/>
    </row>
    <row r="45" spans="2:23" x14ac:dyDescent="0.25">
      <c r="B45" s="10" t="s">
        <v>48</v>
      </c>
      <c r="C45" s="96">
        <v>-357935</v>
      </c>
      <c r="D45" s="9">
        <f t="shared" si="4"/>
        <v>-4.0292522350172709E-3</v>
      </c>
      <c r="E45" s="53"/>
    </row>
    <row r="46" spans="2:23" x14ac:dyDescent="0.25">
      <c r="B46" s="10" t="s">
        <v>49</v>
      </c>
      <c r="C46" s="96"/>
      <c r="D46" s="9">
        <f>+C46/C$37</f>
        <v>0</v>
      </c>
      <c r="E46" s="79"/>
    </row>
    <row r="47" spans="2:23" x14ac:dyDescent="0.25">
      <c r="B47" s="90" t="s">
        <v>249</v>
      </c>
      <c r="C47" s="96">
        <v>94960</v>
      </c>
      <c r="D47" s="9">
        <f t="shared" ref="D47:D48" si="5">+C47/C$37</f>
        <v>1.0689588674961657E-3</v>
      </c>
      <c r="E47" s="53"/>
    </row>
    <row r="48" spans="2:23" x14ac:dyDescent="0.25">
      <c r="B48" s="90" t="s">
        <v>251</v>
      </c>
      <c r="C48" s="96">
        <v>1569729</v>
      </c>
      <c r="D48" s="9">
        <f t="shared" si="5"/>
        <v>1.7670342608634041E-2</v>
      </c>
      <c r="E48" s="53"/>
    </row>
    <row r="49" spans="2:23" x14ac:dyDescent="0.25">
      <c r="B49" s="90" t="s">
        <v>252</v>
      </c>
      <c r="C49" s="96">
        <v>-676383</v>
      </c>
      <c r="D49" s="9">
        <f t="shared" si="4"/>
        <v>-7.6140017446678504E-3</v>
      </c>
      <c r="E49" s="53"/>
    </row>
    <row r="50" spans="2:23" x14ac:dyDescent="0.25">
      <c r="B50" s="90" t="s">
        <v>253</v>
      </c>
      <c r="C50" s="96">
        <v>-234146</v>
      </c>
      <c r="D50" s="9">
        <f t="shared" si="4"/>
        <v>-2.635767091288513E-3</v>
      </c>
      <c r="E50" s="53"/>
    </row>
    <row r="51" spans="2:23" x14ac:dyDescent="0.25">
      <c r="B51" s="90" t="s">
        <v>254</v>
      </c>
      <c r="C51" s="96">
        <v>451401</v>
      </c>
      <c r="D51" s="9">
        <f t="shared" si="4"/>
        <v>5.0813932365905293E-3</v>
      </c>
      <c r="E51" s="53"/>
    </row>
    <row r="52" spans="2:23" x14ac:dyDescent="0.25">
      <c r="B52" s="90" t="s">
        <v>255</v>
      </c>
      <c r="C52" s="96">
        <v>168513</v>
      </c>
      <c r="D52" s="9">
        <f t="shared" ref="D52" si="6">+C52/C$37</f>
        <v>1.8969404553325754E-3</v>
      </c>
      <c r="E52" s="53"/>
    </row>
    <row r="53" spans="2:23" x14ac:dyDescent="0.25">
      <c r="B53" s="90" t="s">
        <v>50</v>
      </c>
      <c r="C53" s="96"/>
      <c r="D53" s="9">
        <f t="shared" si="4"/>
        <v>0</v>
      </c>
      <c r="E53" s="53"/>
    </row>
    <row r="54" spans="2:23" x14ac:dyDescent="0.25">
      <c r="B54" s="320" t="s">
        <v>51</v>
      </c>
      <c r="C54" s="96">
        <f>SUM(C37:C53)</f>
        <v>93407053</v>
      </c>
      <c r="D54" s="9">
        <f>SUM(D38:D53)</f>
        <v>5.1477438827235947E-2</v>
      </c>
      <c r="E54" s="53"/>
    </row>
    <row r="55" spans="2:23" x14ac:dyDescent="0.25">
      <c r="B55" s="87"/>
      <c r="C55" s="88"/>
      <c r="D55" s="79"/>
      <c r="E55" s="79"/>
    </row>
    <row r="56" spans="2:23" x14ac:dyDescent="0.25">
      <c r="B56" s="29" t="s">
        <v>30</v>
      </c>
      <c r="C56" s="66">
        <f>+C54-C37</f>
        <v>4572952</v>
      </c>
      <c r="D56" s="79"/>
      <c r="E56" s="79"/>
    </row>
    <row r="57" spans="2:23" x14ac:dyDescent="0.25">
      <c r="B57" s="55" t="s">
        <v>31</v>
      </c>
      <c r="C57" s="56">
        <f>C56/C37</f>
        <v>5.1477438827235954E-2</v>
      </c>
      <c r="D57" s="79"/>
      <c r="E57" s="79"/>
    </row>
    <row r="58" spans="2:23" x14ac:dyDescent="0.25">
      <c r="B58" s="213"/>
      <c r="C58" s="61"/>
      <c r="D58" s="61"/>
      <c r="E58" s="61"/>
      <c r="F58" s="61"/>
      <c r="G58" s="61"/>
      <c r="H58" s="61"/>
      <c r="O58" s="22"/>
      <c r="P58" s="23"/>
    </row>
    <row r="59" spans="2:23" x14ac:dyDescent="0.25">
      <c r="B59" s="29" t="s">
        <v>32</v>
      </c>
      <c r="C59" s="66">
        <f>'5. Vaccine Clinics and Testing'!D36</f>
        <v>42121</v>
      </c>
      <c r="D59" s="61"/>
      <c r="E59" s="61"/>
      <c r="F59" s="61"/>
      <c r="G59" s="61"/>
      <c r="H59" s="61"/>
      <c r="O59" s="22"/>
      <c r="P59" s="23"/>
    </row>
    <row r="60" spans="2:23" ht="30" x14ac:dyDescent="0.25">
      <c r="B60" s="214" t="s">
        <v>33</v>
      </c>
      <c r="C60" s="215">
        <f>C54-C59</f>
        <v>93364932</v>
      </c>
      <c r="D60" s="15"/>
      <c r="E60" s="15"/>
      <c r="K60" s="23"/>
      <c r="L60" s="23"/>
      <c r="M60" s="14"/>
      <c r="N60" s="24"/>
      <c r="V60" s="22"/>
      <c r="W60" s="23"/>
    </row>
    <row r="61" spans="2:23" x14ac:dyDescent="0.25">
      <c r="B61" s="213"/>
      <c r="C61" s="61"/>
      <c r="D61" s="15"/>
      <c r="E61" s="15"/>
      <c r="K61" s="23"/>
      <c r="L61" s="23"/>
      <c r="M61" s="14"/>
      <c r="N61" s="24"/>
      <c r="V61" s="22"/>
      <c r="W61" s="23"/>
    </row>
    <row r="62" spans="2:23" x14ac:dyDescent="0.25">
      <c r="B62" s="29" t="s">
        <v>34</v>
      </c>
      <c r="C62" s="66">
        <f>C60-C37</f>
        <v>4530831</v>
      </c>
      <c r="D62" s="15"/>
      <c r="E62" s="15"/>
      <c r="O62" s="22"/>
      <c r="P62" s="23"/>
    </row>
    <row r="63" spans="2:23" x14ac:dyDescent="0.25">
      <c r="B63" s="55" t="s">
        <v>35</v>
      </c>
      <c r="C63" s="56">
        <f>C62/C37</f>
        <v>5.1003285326205981E-2</v>
      </c>
      <c r="D63" s="15"/>
      <c r="E63" s="15"/>
      <c r="O63" s="22"/>
      <c r="P63" s="23"/>
    </row>
    <row r="64" spans="2:23" x14ac:dyDescent="0.25">
      <c r="B64" s="213"/>
      <c r="C64" s="61"/>
      <c r="D64" s="61"/>
      <c r="E64" s="61"/>
      <c r="F64" s="61"/>
      <c r="G64" s="61"/>
      <c r="H64" s="61"/>
      <c r="O64" s="22"/>
      <c r="P64" s="23"/>
    </row>
    <row r="66" spans="1:23" ht="18.75" x14ac:dyDescent="0.3">
      <c r="B66" s="333" t="s">
        <v>52</v>
      </c>
      <c r="C66" s="334"/>
      <c r="D66" s="334"/>
      <c r="E66" s="334"/>
      <c r="F66" s="334"/>
      <c r="G66" s="334"/>
      <c r="H66" s="334"/>
      <c r="I66" s="334"/>
      <c r="J66" s="334"/>
      <c r="K66" s="334"/>
      <c r="L66" s="334"/>
      <c r="M66" s="334"/>
      <c r="N66" s="334"/>
      <c r="O66" s="335"/>
      <c r="V66" s="22"/>
      <c r="W66" s="23"/>
    </row>
    <row r="67" spans="1:23" x14ac:dyDescent="0.25">
      <c r="B67" s="17"/>
    </row>
    <row r="68" spans="1:23" ht="18.75" x14ac:dyDescent="0.3">
      <c r="B68" s="100" t="s">
        <v>53</v>
      </c>
      <c r="C68" s="4"/>
    </row>
    <row r="69" spans="1:23" ht="18.75" x14ac:dyDescent="0.3">
      <c r="B69" s="100"/>
      <c r="C69" s="4"/>
    </row>
    <row r="70" spans="1:23" ht="18.75" x14ac:dyDescent="0.3">
      <c r="B70" s="100" t="s">
        <v>285</v>
      </c>
      <c r="C70" s="312" t="s">
        <v>54</v>
      </c>
    </row>
    <row r="71" spans="1:23" s="89" customFormat="1" ht="30" x14ac:dyDescent="0.25">
      <c r="B71" s="101" t="s">
        <v>17</v>
      </c>
      <c r="C71" s="101" t="s">
        <v>18</v>
      </c>
      <c r="D71" s="101" t="s">
        <v>19</v>
      </c>
      <c r="E71" s="101" t="s">
        <v>20</v>
      </c>
      <c r="F71" s="101" t="s">
        <v>21</v>
      </c>
      <c r="G71" s="101" t="s">
        <v>217</v>
      </c>
      <c r="H71" s="101" t="s">
        <v>238</v>
      </c>
    </row>
    <row r="72" spans="1:23" x14ac:dyDescent="0.25">
      <c r="B72" s="5" t="s">
        <v>55</v>
      </c>
      <c r="C72" s="91">
        <f>SUM(D72:H72)</f>
        <v>100632184</v>
      </c>
      <c r="D72" s="97">
        <v>47396833</v>
      </c>
      <c r="E72" s="98">
        <v>13033811</v>
      </c>
      <c r="F72" s="98">
        <v>38467017</v>
      </c>
      <c r="G72" s="98">
        <v>919507</v>
      </c>
      <c r="H72" s="98">
        <v>815016</v>
      </c>
    </row>
    <row r="73" spans="1:23" ht="14.45" customHeight="1" x14ac:dyDescent="0.25">
      <c r="A73" s="328"/>
      <c r="B73" s="8" t="s">
        <v>56</v>
      </c>
      <c r="C73" s="91">
        <f>SUM(D73:H73)</f>
        <v>3132581</v>
      </c>
      <c r="D73" s="92">
        <f>+D12</f>
        <v>950141</v>
      </c>
      <c r="E73" s="92">
        <f t="shared" ref="E73:G73" si="7">+E12</f>
        <v>0</v>
      </c>
      <c r="F73" s="92">
        <f t="shared" si="7"/>
        <v>2134778</v>
      </c>
      <c r="G73" s="92">
        <f t="shared" si="7"/>
        <v>47662</v>
      </c>
      <c r="H73" s="94"/>
      <c r="L73" s="22"/>
      <c r="M73" s="23"/>
    </row>
    <row r="74" spans="1:23" x14ac:dyDescent="0.25">
      <c r="A74" s="328"/>
      <c r="B74" s="8" t="s">
        <v>57</v>
      </c>
      <c r="C74" s="91">
        <f>SUM(D74:H74)</f>
        <v>-128376</v>
      </c>
      <c r="D74" s="92"/>
      <c r="E74" s="93"/>
      <c r="F74" s="94"/>
      <c r="G74" s="94"/>
      <c r="H74" s="94">
        <f>-815016+686640</f>
        <v>-128376</v>
      </c>
      <c r="L74" s="22"/>
      <c r="M74" s="23"/>
    </row>
    <row r="75" spans="1:23" x14ac:dyDescent="0.25">
      <c r="A75" s="328"/>
      <c r="B75" s="8" t="s">
        <v>58</v>
      </c>
      <c r="C75" s="91">
        <f>SUM(D75:H75)</f>
        <v>373527</v>
      </c>
      <c r="D75" s="92">
        <v>136252</v>
      </c>
      <c r="E75" s="93">
        <v>108343</v>
      </c>
      <c r="F75" s="94">
        <v>127224</v>
      </c>
      <c r="G75" s="94">
        <v>1708</v>
      </c>
      <c r="H75" s="94"/>
      <c r="L75" s="22"/>
      <c r="M75" s="23"/>
    </row>
    <row r="76" spans="1:23" x14ac:dyDescent="0.25">
      <c r="A76" s="328"/>
      <c r="B76" s="8" t="s">
        <v>59</v>
      </c>
      <c r="C76" s="91">
        <f t="shared" ref="C76:C83" si="8">SUM(D76:H76)</f>
        <v>-136384</v>
      </c>
      <c r="D76" s="92"/>
      <c r="E76" s="93">
        <v>-136384</v>
      </c>
      <c r="F76" s="94"/>
      <c r="G76" s="94"/>
      <c r="H76" s="94"/>
      <c r="L76" s="22"/>
      <c r="M76" s="23"/>
    </row>
    <row r="77" spans="1:23" x14ac:dyDescent="0.25">
      <c r="B77" s="10" t="s">
        <v>25</v>
      </c>
      <c r="C77" s="91">
        <f t="shared" si="8"/>
        <v>0</v>
      </c>
      <c r="D77" s="92"/>
      <c r="E77" s="93"/>
      <c r="F77" s="95"/>
      <c r="G77" s="95"/>
      <c r="H77" s="95"/>
      <c r="L77" s="22"/>
      <c r="M77" s="23"/>
    </row>
    <row r="78" spans="1:23" x14ac:dyDescent="0.25">
      <c r="B78" s="10" t="s">
        <v>26</v>
      </c>
      <c r="C78" s="91">
        <f t="shared" si="8"/>
        <v>0</v>
      </c>
      <c r="D78" s="92"/>
      <c r="E78" s="93"/>
      <c r="F78" s="94"/>
      <c r="G78" s="94"/>
      <c r="H78" s="94"/>
      <c r="L78" s="22"/>
      <c r="M78" s="23"/>
    </row>
    <row r="79" spans="1:23" x14ac:dyDescent="0.25">
      <c r="B79" s="10" t="s">
        <v>27</v>
      </c>
      <c r="C79" s="91">
        <f t="shared" si="8"/>
        <v>-14891251</v>
      </c>
      <c r="D79" s="92">
        <f>-14650030-78318</f>
        <v>-14728348</v>
      </c>
      <c r="E79" s="93">
        <f>28296-122701</f>
        <v>-94405</v>
      </c>
      <c r="F79" s="94">
        <v>-67528</v>
      </c>
      <c r="G79" s="94">
        <f>251-1221</f>
        <v>-970</v>
      </c>
      <c r="H79" s="94"/>
      <c r="L79" s="22"/>
      <c r="M79" s="23"/>
    </row>
    <row r="80" spans="1:23" x14ac:dyDescent="0.25">
      <c r="B80" s="10" t="s">
        <v>60</v>
      </c>
      <c r="C80" s="91">
        <f t="shared" si="8"/>
        <v>-214575</v>
      </c>
      <c r="D80" s="92"/>
      <c r="E80" s="93"/>
      <c r="F80" s="94">
        <v>-214575</v>
      </c>
      <c r="G80" s="94"/>
      <c r="H80" s="94"/>
      <c r="L80" s="22"/>
      <c r="M80" s="23"/>
    </row>
    <row r="81" spans="2:23" x14ac:dyDescent="0.25">
      <c r="B81" s="90" t="s">
        <v>250</v>
      </c>
      <c r="C81" s="91">
        <f t="shared" si="8"/>
        <v>16990</v>
      </c>
      <c r="D81" s="92"/>
      <c r="E81" s="93">
        <v>16990</v>
      </c>
      <c r="F81" s="95"/>
      <c r="G81" s="95"/>
      <c r="H81" s="95"/>
      <c r="L81" s="22"/>
      <c r="M81" s="23"/>
    </row>
    <row r="82" spans="2:23" x14ac:dyDescent="0.25">
      <c r="B82" s="90" t="s">
        <v>28</v>
      </c>
      <c r="C82" s="91">
        <f t="shared" si="8"/>
        <v>0</v>
      </c>
      <c r="D82" s="92"/>
      <c r="E82" s="93"/>
      <c r="F82" s="95"/>
      <c r="G82" s="95"/>
      <c r="H82" s="95"/>
      <c r="L82" s="22"/>
      <c r="M82" s="23"/>
    </row>
    <row r="83" spans="2:23" x14ac:dyDescent="0.25">
      <c r="B83" s="90" t="s">
        <v>28</v>
      </c>
      <c r="C83" s="91">
        <f t="shared" si="8"/>
        <v>0</v>
      </c>
      <c r="D83" s="92"/>
      <c r="E83" s="93"/>
      <c r="F83" s="95"/>
      <c r="G83" s="95"/>
      <c r="H83" s="95"/>
      <c r="L83" s="22"/>
      <c r="M83" s="23"/>
    </row>
    <row r="84" spans="2:23" x14ac:dyDescent="0.25">
      <c r="B84" s="11" t="s">
        <v>29</v>
      </c>
      <c r="C84" s="6">
        <f t="shared" ref="C84:H84" si="9">SUM(C72:C83)</f>
        <v>88784696</v>
      </c>
      <c r="D84" s="54">
        <f t="shared" si="9"/>
        <v>33754878</v>
      </c>
      <c r="E84" s="54">
        <f t="shared" si="9"/>
        <v>12928355</v>
      </c>
      <c r="F84" s="54">
        <f t="shared" si="9"/>
        <v>40446916</v>
      </c>
      <c r="G84" s="54">
        <f t="shared" si="9"/>
        <v>967907</v>
      </c>
      <c r="H84" s="54">
        <f t="shared" si="9"/>
        <v>686640</v>
      </c>
      <c r="J84" s="280"/>
      <c r="L84" s="22"/>
      <c r="M84" s="23"/>
    </row>
    <row r="85" spans="2:23" x14ac:dyDescent="0.25">
      <c r="C85" s="14"/>
      <c r="D85" s="15"/>
      <c r="L85" s="22"/>
      <c r="M85" s="23"/>
    </row>
    <row r="86" spans="2:23" x14ac:dyDescent="0.25">
      <c r="B86" s="29" t="s">
        <v>61</v>
      </c>
      <c r="C86" s="66">
        <f>+C84-C72</f>
        <v>-11847488</v>
      </c>
      <c r="D86" s="66">
        <f t="shared" ref="D86:E86" si="10">+D84-D72</f>
        <v>-13641955</v>
      </c>
      <c r="E86" s="66">
        <f t="shared" si="10"/>
        <v>-105456</v>
      </c>
      <c r="F86" s="19">
        <f>+F84-F72</f>
        <v>1979899</v>
      </c>
      <c r="G86" s="19">
        <f>+G84-G72</f>
        <v>48400</v>
      </c>
      <c r="H86" s="19">
        <f>+H84-H72</f>
        <v>-128376</v>
      </c>
      <c r="L86" s="22"/>
      <c r="M86" s="23"/>
    </row>
    <row r="87" spans="2:23" x14ac:dyDescent="0.25">
      <c r="B87" s="55" t="s">
        <v>62</v>
      </c>
      <c r="C87" s="56">
        <f t="shared" ref="C87:H87" si="11">+C86/C72</f>
        <v>-0.11773060594610567</v>
      </c>
      <c r="D87" s="56">
        <f t="shared" si="11"/>
        <v>-0.28782418859082842</v>
      </c>
      <c r="E87" s="56">
        <f t="shared" si="11"/>
        <v>-8.0909566664730675E-3</v>
      </c>
      <c r="F87" s="56">
        <f t="shared" si="11"/>
        <v>5.1470042504205615E-2</v>
      </c>
      <c r="G87" s="56">
        <f t="shared" si="11"/>
        <v>5.2636902166052026E-2</v>
      </c>
      <c r="H87" s="56">
        <f t="shared" si="11"/>
        <v>-0.15751347212815453</v>
      </c>
      <c r="L87" s="22"/>
      <c r="M87" s="23"/>
    </row>
    <row r="88" spans="2:23" x14ac:dyDescent="0.25">
      <c r="B88" s="213"/>
      <c r="C88" s="61"/>
      <c r="D88" s="15"/>
      <c r="E88" s="15"/>
      <c r="K88" s="23"/>
      <c r="L88" s="23"/>
      <c r="M88" s="14"/>
      <c r="N88" s="24"/>
      <c r="V88" s="22"/>
      <c r="W88" s="23"/>
    </row>
    <row r="89" spans="2:23" x14ac:dyDescent="0.25">
      <c r="B89" s="29" t="s">
        <v>63</v>
      </c>
      <c r="C89" s="66">
        <f>(C84-'5. Vaccine Clinics and Testing'!D23)-('1. Reconciliation'!C72-'5. Vaccine Clinics and Testing'!C23)</f>
        <v>-10846947</v>
      </c>
      <c r="D89" s="15"/>
      <c r="E89" s="15"/>
      <c r="O89" s="22"/>
      <c r="P89" s="23"/>
    </row>
    <row r="90" spans="2:23" x14ac:dyDescent="0.25">
      <c r="B90" s="55" t="s">
        <v>64</v>
      </c>
      <c r="C90" s="56">
        <f>+C89/C72</f>
        <v>-0.10778805118648722</v>
      </c>
      <c r="D90" s="15"/>
      <c r="E90" s="15"/>
      <c r="O90" s="22"/>
      <c r="P90" s="23"/>
    </row>
    <row r="91" spans="2:23" x14ac:dyDescent="0.25">
      <c r="B91" s="213"/>
      <c r="C91" s="61"/>
      <c r="D91" s="61"/>
      <c r="E91" s="61"/>
      <c r="F91" s="61"/>
      <c r="G91" s="61"/>
      <c r="H91" s="61"/>
      <c r="O91" s="22"/>
      <c r="P91" s="23"/>
    </row>
    <row r="92" spans="2:23" ht="19.899999999999999" customHeight="1" x14ac:dyDescent="0.3">
      <c r="B92" s="100" t="s">
        <v>65</v>
      </c>
      <c r="C92" s="4"/>
      <c r="D92" s="15"/>
      <c r="E92" s="15"/>
      <c r="V92" s="22"/>
      <c r="W92" s="23"/>
    </row>
    <row r="93" spans="2:23" ht="18.75" x14ac:dyDescent="0.3">
      <c r="B93" s="100"/>
      <c r="C93" s="4"/>
      <c r="D93" s="15"/>
      <c r="E93" s="15"/>
      <c r="V93" s="22"/>
      <c r="W93" s="23"/>
    </row>
    <row r="94" spans="2:23" x14ac:dyDescent="0.25">
      <c r="B94" s="102" t="s">
        <v>37</v>
      </c>
      <c r="C94" s="102" t="s">
        <v>38</v>
      </c>
      <c r="D94" s="102" t="s">
        <v>39</v>
      </c>
      <c r="E94" s="62"/>
      <c r="V94" s="22"/>
      <c r="W94" s="23"/>
    </row>
    <row r="95" spans="2:23" x14ac:dyDescent="0.25">
      <c r="B95" s="5" t="s">
        <v>55</v>
      </c>
      <c r="C95" s="91">
        <v>90846509</v>
      </c>
      <c r="D95" s="7"/>
      <c r="E95" s="61"/>
      <c r="V95" s="22"/>
      <c r="W95" s="23"/>
    </row>
    <row r="96" spans="2:23" x14ac:dyDescent="0.25">
      <c r="B96" s="8" t="s">
        <v>41</v>
      </c>
      <c r="C96" s="96"/>
      <c r="D96" s="9">
        <f>+C96/C$37</f>
        <v>0</v>
      </c>
      <c r="E96" s="63"/>
      <c r="V96" s="22"/>
    </row>
    <row r="97" spans="2:22" x14ac:dyDescent="0.25">
      <c r="B97" s="10" t="s">
        <v>42</v>
      </c>
      <c r="C97" s="96">
        <f>+C39</f>
        <v>1926398</v>
      </c>
      <c r="D97" s="9">
        <f t="shared" ref="D97:D109" si="12">+C97/C$37</f>
        <v>2.1685343559676482E-2</v>
      </c>
      <c r="E97" s="63"/>
      <c r="V97" s="22"/>
    </row>
    <row r="98" spans="2:22" x14ac:dyDescent="0.25">
      <c r="B98" s="10" t="s">
        <v>43</v>
      </c>
      <c r="C98" s="96">
        <v>285305</v>
      </c>
      <c r="D98" s="9">
        <f t="shared" si="12"/>
        <v>3.2116608012952145E-3</v>
      </c>
      <c r="E98" s="63"/>
      <c r="V98" s="22"/>
    </row>
    <row r="99" spans="2:22" x14ac:dyDescent="0.25">
      <c r="B99" s="10" t="s">
        <v>44</v>
      </c>
      <c r="C99" s="96"/>
      <c r="D99" s="9">
        <f t="shared" si="12"/>
        <v>0</v>
      </c>
      <c r="E99" s="63"/>
      <c r="V99" s="22"/>
    </row>
    <row r="100" spans="2:22" x14ac:dyDescent="0.25">
      <c r="B100" s="10" t="s">
        <v>45</v>
      </c>
      <c r="C100" s="96"/>
      <c r="D100" s="9">
        <f t="shared" si="12"/>
        <v>0</v>
      </c>
      <c r="E100" s="63"/>
      <c r="V100" s="22"/>
    </row>
    <row r="101" spans="2:22" x14ac:dyDescent="0.25">
      <c r="B101" s="10" t="s">
        <v>46</v>
      </c>
      <c r="C101" s="96"/>
      <c r="D101" s="9">
        <f t="shared" si="12"/>
        <v>0</v>
      </c>
      <c r="E101" s="63"/>
      <c r="V101" s="22"/>
    </row>
    <row r="102" spans="2:22" x14ac:dyDescent="0.25">
      <c r="B102" s="10" t="s">
        <v>47</v>
      </c>
      <c r="C102" s="96"/>
      <c r="D102" s="9">
        <f t="shared" si="12"/>
        <v>0</v>
      </c>
      <c r="E102" s="63"/>
    </row>
    <row r="103" spans="2:22" x14ac:dyDescent="0.25">
      <c r="B103" s="10" t="s">
        <v>48</v>
      </c>
      <c r="C103" s="96"/>
      <c r="D103" s="9">
        <f t="shared" si="12"/>
        <v>0</v>
      </c>
      <c r="E103" s="63"/>
    </row>
    <row r="104" spans="2:22" x14ac:dyDescent="0.25">
      <c r="B104" s="10" t="s">
        <v>49</v>
      </c>
      <c r="C104" s="96"/>
      <c r="D104" s="9">
        <f t="shared" si="12"/>
        <v>0</v>
      </c>
      <c r="E104" s="63"/>
    </row>
    <row r="105" spans="2:22" x14ac:dyDescent="0.25">
      <c r="B105" s="90" t="s">
        <v>249</v>
      </c>
      <c r="C105" s="96"/>
      <c r="D105" s="9">
        <f t="shared" ref="D105:D106" si="13">+C105/C$37</f>
        <v>0</v>
      </c>
      <c r="E105" s="63"/>
    </row>
    <row r="106" spans="2:22" x14ac:dyDescent="0.25">
      <c r="B106" s="90" t="s">
        <v>253</v>
      </c>
      <c r="C106" s="96">
        <f>3638920-3516706</f>
        <v>122214</v>
      </c>
      <c r="D106" s="9">
        <f t="shared" si="13"/>
        <v>1.3757554657979822E-3</v>
      </c>
      <c r="E106" s="63"/>
    </row>
    <row r="107" spans="2:22" x14ac:dyDescent="0.25">
      <c r="B107" s="90" t="s">
        <v>256</v>
      </c>
      <c r="C107" s="96">
        <v>226627</v>
      </c>
      <c r="D107" s="9">
        <f t="shared" si="12"/>
        <v>2.5511261716939086E-3</v>
      </c>
      <c r="E107" s="63"/>
    </row>
    <row r="108" spans="2:22" x14ac:dyDescent="0.25">
      <c r="B108" s="90" t="s">
        <v>28</v>
      </c>
      <c r="C108" s="96"/>
      <c r="D108" s="9">
        <f t="shared" ref="D108" si="14">+C108/C$37</f>
        <v>0</v>
      </c>
      <c r="E108" s="63"/>
    </row>
    <row r="109" spans="2:22" x14ac:dyDescent="0.25">
      <c r="B109" s="90" t="s">
        <v>50</v>
      </c>
      <c r="C109" s="96"/>
      <c r="D109" s="9">
        <f t="shared" si="12"/>
        <v>0</v>
      </c>
      <c r="E109" s="63"/>
    </row>
    <row r="110" spans="2:22" x14ac:dyDescent="0.25">
      <c r="B110" s="11" t="s">
        <v>29</v>
      </c>
      <c r="C110" s="12">
        <f>SUM(C95:C109)</f>
        <v>93407053</v>
      </c>
      <c r="D110" s="13">
        <f>SUM(D96:D109)</f>
        <v>2.882388599846359E-2</v>
      </c>
      <c r="E110" s="63"/>
      <c r="G110" s="14"/>
    </row>
    <row r="111" spans="2:22" x14ac:dyDescent="0.25">
      <c r="E111" s="58"/>
    </row>
    <row r="112" spans="2:22" x14ac:dyDescent="0.25">
      <c r="B112" s="29" t="s">
        <v>61</v>
      </c>
      <c r="C112" s="66">
        <f>+C110-C95</f>
        <v>2560544</v>
      </c>
      <c r="E112" s="58"/>
    </row>
    <row r="113" spans="2:23" x14ac:dyDescent="0.25">
      <c r="B113" s="55" t="s">
        <v>62</v>
      </c>
      <c r="C113" s="308">
        <f>(C112)/C95</f>
        <v>2.8185386848491888E-2</v>
      </c>
      <c r="D113" s="317"/>
      <c r="E113" s="315"/>
      <c r="F113" s="317"/>
    </row>
    <row r="114" spans="2:23" x14ac:dyDescent="0.25">
      <c r="B114" s="213"/>
      <c r="C114" s="61"/>
      <c r="D114" s="61"/>
      <c r="E114" s="61"/>
      <c r="F114" s="61"/>
      <c r="G114" s="61"/>
      <c r="H114" s="61"/>
      <c r="O114" s="22"/>
      <c r="P114" s="23"/>
    </row>
    <row r="115" spans="2:23" x14ac:dyDescent="0.25">
      <c r="B115" s="29" t="s">
        <v>63</v>
      </c>
      <c r="C115" s="66">
        <f>(C110-'5. Vaccine Clinics and Testing'!D42)-('1. Reconciliation'!C95-'1. Reconciliation'!C41)</f>
        <v>3364220</v>
      </c>
      <c r="D115" s="61"/>
      <c r="E115" s="61"/>
      <c r="F115" s="61"/>
      <c r="G115" s="61"/>
      <c r="H115" s="61"/>
      <c r="O115" s="22"/>
      <c r="P115" s="23"/>
    </row>
    <row r="116" spans="2:23" x14ac:dyDescent="0.25">
      <c r="B116" s="55" t="s">
        <v>64</v>
      </c>
      <c r="C116" s="318">
        <f>(C115)/(C95-'5. Vaccine Clinics and Testing'!C36)</f>
        <v>3.7420037141741032E-2</v>
      </c>
      <c r="D116" s="316"/>
      <c r="E116" s="316"/>
      <c r="F116" s="317"/>
      <c r="K116" s="23"/>
      <c r="L116" s="23"/>
      <c r="M116" s="14"/>
      <c r="N116" s="24"/>
      <c r="V116" s="22"/>
      <c r="W116" s="23"/>
    </row>
  </sheetData>
  <customSheetViews>
    <customSheetView guid="{44973865-8AD1-45FA-8A45-05D76FF96A5F}" showPageBreaks="1" showGridLines="0" fitToPage="1" printArea="1" topLeftCell="B1">
      <selection activeCell="B34" sqref="B34:F64"/>
      <rowBreaks count="1" manualBreakCount="1">
        <brk id="65" min="1" max="12" man="1"/>
      </rowBreaks>
      <pageMargins left="0.7" right="0.7" top="0.5" bottom="0.5" header="0.3" footer="0.3"/>
      <pageSetup scale="42" fitToHeight="0" orientation="landscape" r:id="rId1"/>
      <headerFooter>
        <oddFooter>&amp;L&amp;D&amp;R&amp;F,&amp;A</oddFooter>
      </headerFooter>
    </customSheetView>
    <customSheetView guid="{7A66AF9E-81E8-451B-9A4F-DFE08BFB5947}" showPageBreaks="1" showGridLines="0" fitToPage="1" printArea="1" topLeftCell="B1">
      <selection activeCell="B34" sqref="B34:F64"/>
      <rowBreaks count="1" manualBreakCount="1">
        <brk id="65" min="1" max="12" man="1"/>
      </rowBreaks>
      <pageMargins left="0.7" right="0.7" top="0.5" bottom="0.5" header="0.3" footer="0.3"/>
      <pageSetup scale="42" fitToHeight="0" orientation="landscape" r:id="rId2"/>
      <headerFooter>
        <oddFooter>&amp;L&amp;D&amp;R&amp;F,&amp;A</oddFooter>
      </headerFooter>
    </customSheetView>
    <customSheetView guid="{670863B2-8243-412A-8B8D-30885F188694}" showGridLines="0" fitToPage="1" topLeftCell="B1">
      <selection activeCell="B34" sqref="B34:F64"/>
      <rowBreaks count="1" manualBreakCount="1">
        <brk id="65" min="1" max="12" man="1"/>
      </rowBreaks>
      <pageMargins left="0.7" right="0.7" top="0.5" bottom="0.5" header="0.3" footer="0.3"/>
      <pageSetup scale="42" fitToHeight="0" orientation="landscape" r:id="rId3"/>
      <headerFooter>
        <oddFooter>&amp;L&amp;D&amp;R&amp;F,&amp;A</oddFooter>
      </headerFooter>
    </customSheetView>
    <customSheetView guid="{7E96D643-834B-40CD-8E58-19C1F2E2A6F1}" showGridLines="0" fitToPage="1" topLeftCell="B103">
      <selection activeCell="C26" sqref="C26"/>
      <rowBreaks count="1" manualBreakCount="1">
        <brk id="65" min="1" max="12" man="1"/>
      </rowBreaks>
      <pageMargins left="0.7" right="0.7" top="0.5" bottom="0.5" header="0.3" footer="0.3"/>
      <pageSetup scale="42" fitToHeight="0" orientation="landscape" r:id="rId4"/>
      <headerFooter>
        <oddFooter>&amp;L&amp;D&amp;R&amp;F,&amp;A</oddFooter>
      </headerFooter>
    </customSheetView>
    <customSheetView guid="{370A90FE-A320-447B-8995-A714325CBEA5}" showPageBreaks="1" showGridLines="0" printArea="1" topLeftCell="B91">
      <selection activeCell="F96" sqref="F96"/>
      <rowBreaks count="1" manualBreakCount="1">
        <brk id="65" min="1" max="12" man="1"/>
      </rowBreaks>
      <pageMargins left="0.7" right="0.7" top="0.5" bottom="0.5" header="0.3" footer="0.3"/>
      <pageSetup scale="48" fitToHeight="4" orientation="landscape" r:id="rId5"/>
      <headerFooter>
        <oddFooter>&amp;L&amp;D&amp;R&amp;F,&amp;A</oddFooter>
      </headerFooter>
    </customSheetView>
  </customSheetViews>
  <mergeCells count="7">
    <mergeCell ref="A73:A76"/>
    <mergeCell ref="B2:O2"/>
    <mergeCell ref="B3:O3"/>
    <mergeCell ref="B6:O6"/>
    <mergeCell ref="B4:O4"/>
    <mergeCell ref="B66:O66"/>
    <mergeCell ref="A12:A19"/>
  </mergeCells>
  <pageMargins left="0.7" right="0.7" top="0.5" bottom="0.5" header="0.3" footer="0.3"/>
  <pageSetup scale="42" fitToHeight="0" orientation="landscape" r:id="rId6"/>
  <headerFooter>
    <oddFooter>&amp;L&amp;D&amp;R&amp;F,&amp;A</oddFooter>
  </headerFooter>
  <rowBreaks count="1" manualBreakCount="1">
    <brk id="65"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O67"/>
  <sheetViews>
    <sheetView showGridLines="0" topLeftCell="A4" zoomScale="90" zoomScaleNormal="90" workbookViewId="0">
      <selection activeCell="A64" sqref="A1:J64"/>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4" customWidth="1"/>
    <col min="9" max="11" width="17.7109375" style="1" customWidth="1"/>
    <col min="12" max="12" width="13.28515625" style="1" bestFit="1" customWidth="1"/>
    <col min="13" max="14" width="8.85546875" style="1"/>
    <col min="15" max="15" width="14" style="1" bestFit="1" customWidth="1"/>
    <col min="16" max="16384" width="8.85546875" style="1"/>
  </cols>
  <sheetData>
    <row r="2" spans="2:9" x14ac:dyDescent="0.25">
      <c r="B2" s="329" t="s">
        <v>66</v>
      </c>
      <c r="C2" s="329"/>
      <c r="D2" s="329"/>
      <c r="E2" s="329"/>
      <c r="F2" s="329"/>
      <c r="G2" s="329"/>
      <c r="H2" s="329"/>
      <c r="I2" s="329"/>
    </row>
    <row r="3" spans="2:9" ht="18.75" x14ac:dyDescent="0.3">
      <c r="B3" s="341" t="s">
        <v>13</v>
      </c>
      <c r="C3" s="342"/>
      <c r="D3" s="342"/>
      <c r="E3" s="342"/>
      <c r="F3" s="342"/>
      <c r="G3" s="342"/>
      <c r="H3" s="342"/>
      <c r="I3" s="343"/>
    </row>
    <row r="4" spans="2:9" ht="18.75" x14ac:dyDescent="0.3">
      <c r="B4" s="344" t="s">
        <v>67</v>
      </c>
      <c r="C4" s="345"/>
      <c r="D4" s="345"/>
      <c r="E4" s="345"/>
      <c r="F4" s="345"/>
      <c r="G4" s="345"/>
      <c r="H4" s="345"/>
      <c r="I4" s="346"/>
    </row>
    <row r="5" spans="2:9" ht="34.9" customHeight="1" x14ac:dyDescent="0.25">
      <c r="B5" s="340" t="s">
        <v>68</v>
      </c>
      <c r="C5" s="340"/>
      <c r="D5" s="340"/>
      <c r="E5" s="340"/>
      <c r="F5" s="340"/>
      <c r="G5" s="340"/>
      <c r="H5" s="218"/>
    </row>
    <row r="6" spans="2:9" x14ac:dyDescent="0.25">
      <c r="B6" s="219"/>
      <c r="C6" s="219"/>
      <c r="D6" s="219"/>
      <c r="E6" s="219"/>
      <c r="F6" s="219"/>
      <c r="G6" s="219"/>
      <c r="H6" s="218"/>
    </row>
    <row r="7" spans="2:9" ht="29.45" customHeight="1" x14ac:dyDescent="0.25">
      <c r="B7" s="349" t="s">
        <v>69</v>
      </c>
      <c r="C7" s="350"/>
      <c r="D7" s="351"/>
      <c r="H7" s="1"/>
    </row>
    <row r="8" spans="2:9" ht="15" customHeight="1" x14ac:dyDescent="0.25">
      <c r="B8" s="352" t="s">
        <v>70</v>
      </c>
      <c r="C8" s="353"/>
      <c r="D8" s="354"/>
      <c r="H8" s="1"/>
    </row>
    <row r="9" spans="2:9" ht="42.75" customHeight="1" x14ac:dyDescent="0.25">
      <c r="B9" s="3" t="s">
        <v>71</v>
      </c>
      <c r="C9" s="49" t="s">
        <v>72</v>
      </c>
      <c r="D9" s="49" t="s">
        <v>73</v>
      </c>
      <c r="H9" s="1"/>
    </row>
    <row r="10" spans="2:9" x14ac:dyDescent="0.25">
      <c r="B10" s="3"/>
      <c r="C10" s="3"/>
      <c r="D10" s="49"/>
      <c r="H10" s="1"/>
    </row>
    <row r="11" spans="2:9" x14ac:dyDescent="0.25">
      <c r="B11" s="3" t="s">
        <v>74</v>
      </c>
      <c r="C11" s="239">
        <v>1859473</v>
      </c>
      <c r="D11" s="309">
        <v>5.6000000000000001E-2</v>
      </c>
      <c r="H11" s="1"/>
    </row>
    <row r="12" spans="2:9" x14ac:dyDescent="0.25">
      <c r="B12" s="3" t="s">
        <v>75</v>
      </c>
      <c r="C12" s="239">
        <v>8236502</v>
      </c>
      <c r="D12" s="309">
        <v>5.6000000000000001E-2</v>
      </c>
      <c r="H12" s="1"/>
    </row>
    <row r="13" spans="2:9" x14ac:dyDescent="0.25">
      <c r="B13" s="3" t="s">
        <v>76</v>
      </c>
      <c r="C13" s="239">
        <v>0</v>
      </c>
      <c r="D13" s="309">
        <v>0</v>
      </c>
      <c r="H13" s="1"/>
    </row>
    <row r="14" spans="2:9" x14ac:dyDescent="0.25">
      <c r="B14" s="3" t="s">
        <v>28</v>
      </c>
      <c r="C14" s="239">
        <v>0</v>
      </c>
      <c r="D14" s="309">
        <v>0</v>
      </c>
      <c r="H14" s="1"/>
    </row>
    <row r="15" spans="2:9" ht="30" x14ac:dyDescent="0.25">
      <c r="B15" s="60" t="s">
        <v>77</v>
      </c>
      <c r="C15" s="240">
        <f>SUM(C11:C14)</f>
        <v>10095975</v>
      </c>
      <c r="D15" s="226">
        <v>4.9000000000000002E-2</v>
      </c>
      <c r="H15" s="1"/>
    </row>
    <row r="16" spans="2:9" s="64" customFormat="1" x14ac:dyDescent="0.25">
      <c r="B16" s="220"/>
      <c r="C16" s="65"/>
      <c r="D16" s="65"/>
      <c r="E16" s="65"/>
      <c r="F16" s="65"/>
      <c r="G16" s="65"/>
      <c r="H16" s="65"/>
    </row>
    <row r="17" spans="2:15" ht="45" customHeight="1" x14ac:dyDescent="0.25">
      <c r="B17" s="349" t="s">
        <v>245</v>
      </c>
      <c r="C17" s="350"/>
      <c r="D17" s="350"/>
      <c r="E17" s="350"/>
      <c r="F17" s="350"/>
      <c r="G17" s="350"/>
      <c r="H17" s="350"/>
      <c r="I17" s="350"/>
      <c r="J17" s="351"/>
    </row>
    <row r="18" spans="2:15" ht="15" customHeight="1" x14ac:dyDescent="0.25">
      <c r="B18" s="352" t="s">
        <v>226</v>
      </c>
      <c r="C18" s="353"/>
      <c r="D18" s="353"/>
      <c r="E18" s="353"/>
      <c r="F18" s="353"/>
      <c r="G18" s="353"/>
      <c r="H18" s="353"/>
      <c r="I18" s="353"/>
      <c r="J18" s="354"/>
    </row>
    <row r="19" spans="2:15" ht="42.75" customHeight="1" x14ac:dyDescent="0.25">
      <c r="B19" s="3" t="s">
        <v>71</v>
      </c>
      <c r="C19" s="49" t="s">
        <v>220</v>
      </c>
      <c r="D19" s="49" t="s">
        <v>78</v>
      </c>
      <c r="E19" s="49" t="s">
        <v>221</v>
      </c>
      <c r="F19" s="360" t="s">
        <v>222</v>
      </c>
      <c r="G19" s="361"/>
      <c r="H19" s="221" t="s">
        <v>223</v>
      </c>
      <c r="I19" s="221" t="s">
        <v>224</v>
      </c>
      <c r="J19" s="221" t="s">
        <v>225</v>
      </c>
    </row>
    <row r="20" spans="2:15" x14ac:dyDescent="0.25">
      <c r="B20" s="3"/>
      <c r="C20" s="49"/>
      <c r="D20" s="222"/>
      <c r="E20" s="49"/>
      <c r="F20" s="49" t="s">
        <v>79</v>
      </c>
      <c r="G20" s="49" t="s">
        <v>80</v>
      </c>
      <c r="H20" s="49"/>
      <c r="I20" s="49"/>
      <c r="J20" s="49"/>
    </row>
    <row r="21" spans="2:15" x14ac:dyDescent="0.25">
      <c r="B21" s="3" t="s">
        <v>74</v>
      </c>
      <c r="C21" s="223">
        <f>32244918+900000</f>
        <v>33144918</v>
      </c>
      <c r="D21" s="224">
        <f>(E21/C21)-1</f>
        <v>5.7910205118021363E-2</v>
      </c>
      <c r="E21" s="84">
        <f>34164347+900000</f>
        <v>35064347</v>
      </c>
      <c r="F21" s="84">
        <f>4805709+211467</f>
        <v>5017176</v>
      </c>
      <c r="G21" s="84">
        <v>0</v>
      </c>
      <c r="H21" s="84">
        <v>91315</v>
      </c>
      <c r="I21" s="84">
        <v>6159626</v>
      </c>
      <c r="J21" s="84">
        <f>22896231+900000</f>
        <v>23796231</v>
      </c>
      <c r="K21" s="281"/>
    </row>
    <row r="22" spans="2:15" x14ac:dyDescent="0.25">
      <c r="B22" s="3" t="s">
        <v>75</v>
      </c>
      <c r="C22" s="223">
        <v>143526854</v>
      </c>
      <c r="D22" s="224">
        <f t="shared" ref="D22:D25" si="0">(E22/C22)-1</f>
        <v>8.214525485244728E-2</v>
      </c>
      <c r="E22" s="84">
        <v>155316904</v>
      </c>
      <c r="F22" s="84">
        <f>49727986+1811009</f>
        <v>51538995</v>
      </c>
      <c r="G22" s="84">
        <v>0</v>
      </c>
      <c r="H22" s="84">
        <f>1170313</f>
        <v>1170313</v>
      </c>
      <c r="I22" s="84">
        <f>35730895</f>
        <v>35730895</v>
      </c>
      <c r="J22" s="84">
        <f>66876701</f>
        <v>66876701</v>
      </c>
      <c r="K22" s="117"/>
    </row>
    <row r="23" spans="2:15" x14ac:dyDescent="0.25">
      <c r="B23" s="3" t="s">
        <v>76</v>
      </c>
      <c r="C23" s="223">
        <v>26043540</v>
      </c>
      <c r="D23" s="224">
        <f t="shared" si="0"/>
        <v>-1.4303508662800835E-2</v>
      </c>
      <c r="E23" s="84">
        <v>25671026</v>
      </c>
      <c r="F23" s="84">
        <f>8301861+150450</f>
        <v>8452311</v>
      </c>
      <c r="G23" s="84">
        <v>0</v>
      </c>
      <c r="H23" s="84">
        <v>131176</v>
      </c>
      <c r="I23" s="84">
        <v>6977539</v>
      </c>
      <c r="J23" s="84">
        <v>10110000</v>
      </c>
    </row>
    <row r="24" spans="2:15" x14ac:dyDescent="0.25">
      <c r="B24" s="3" t="s">
        <v>28</v>
      </c>
      <c r="C24" s="223">
        <v>0</v>
      </c>
      <c r="D24" s="224"/>
      <c r="E24" s="84">
        <f t="shared" ref="E24" si="1">SUM(F24:J24)</f>
        <v>0</v>
      </c>
      <c r="F24" s="84"/>
      <c r="G24" s="84"/>
      <c r="H24" s="84"/>
      <c r="I24" s="84"/>
      <c r="J24" s="84"/>
    </row>
    <row r="25" spans="2:15" ht="30" x14ac:dyDescent="0.25">
      <c r="B25" s="60" t="s">
        <v>235</v>
      </c>
      <c r="C25" s="225">
        <f>SUM(C21:C24)</f>
        <v>202715312</v>
      </c>
      <c r="D25" s="310">
        <f t="shared" si="0"/>
        <v>6.5791601376417042E-2</v>
      </c>
      <c r="E25" s="225">
        <f t="shared" ref="E25:J25" si="2">SUM(E21:E24)</f>
        <v>216052277</v>
      </c>
      <c r="F25" s="85">
        <f t="shared" si="2"/>
        <v>65008482</v>
      </c>
      <c r="G25" s="85">
        <f t="shared" si="2"/>
        <v>0</v>
      </c>
      <c r="H25" s="85">
        <f t="shared" si="2"/>
        <v>1392804</v>
      </c>
      <c r="I25" s="85">
        <f t="shared" si="2"/>
        <v>48868060</v>
      </c>
      <c r="J25" s="85">
        <f t="shared" si="2"/>
        <v>100782932</v>
      </c>
    </row>
    <row r="26" spans="2:15" s="64" customFormat="1" x14ac:dyDescent="0.25">
      <c r="B26" s="220"/>
      <c r="C26" s="65" t="s">
        <v>242</v>
      </c>
      <c r="D26" s="65"/>
      <c r="E26" s="65" t="s">
        <v>242</v>
      </c>
      <c r="F26" s="65"/>
      <c r="G26" s="65"/>
      <c r="H26" s="65"/>
    </row>
    <row r="27" spans="2:15" s="64" customFormat="1" x14ac:dyDescent="0.25">
      <c r="B27" s="220"/>
      <c r="C27" s="65"/>
      <c r="D27" s="65"/>
      <c r="E27" s="65"/>
      <c r="F27" s="65"/>
      <c r="G27" s="65"/>
      <c r="H27" s="65"/>
    </row>
    <row r="28" spans="2:15" s="64" customFormat="1" ht="23.45" customHeight="1" x14ac:dyDescent="0.25">
      <c r="B28" s="349" t="s">
        <v>81</v>
      </c>
      <c r="C28" s="350"/>
      <c r="D28" s="350"/>
      <c r="E28" s="350"/>
      <c r="F28" s="350"/>
      <c r="G28" s="350"/>
      <c r="H28" s="350"/>
      <c r="I28" s="350"/>
      <c r="J28" s="351"/>
    </row>
    <row r="29" spans="2:15" x14ac:dyDescent="0.25">
      <c r="B29" s="352" t="s">
        <v>218</v>
      </c>
      <c r="C29" s="353"/>
      <c r="D29" s="353"/>
      <c r="E29" s="353"/>
      <c r="F29" s="353"/>
      <c r="G29" s="353"/>
      <c r="H29" s="353"/>
      <c r="I29" s="353"/>
      <c r="J29" s="354"/>
    </row>
    <row r="30" spans="2:15" ht="42.75" customHeight="1" x14ac:dyDescent="0.25">
      <c r="B30" s="3" t="s">
        <v>82</v>
      </c>
      <c r="C30" s="3" t="s">
        <v>83</v>
      </c>
      <c r="D30" s="49" t="s">
        <v>84</v>
      </c>
      <c r="E30" s="49" t="s">
        <v>85</v>
      </c>
      <c r="F30" s="355" t="s">
        <v>227</v>
      </c>
      <c r="G30" s="356"/>
      <c r="H30" s="49" t="s">
        <v>228</v>
      </c>
      <c r="I30" s="49" t="s">
        <v>229</v>
      </c>
      <c r="J30" s="49" t="s">
        <v>230</v>
      </c>
    </row>
    <row r="31" spans="2:15" ht="15.75" customHeight="1" x14ac:dyDescent="0.25">
      <c r="B31" s="3"/>
      <c r="C31" s="3"/>
      <c r="D31" s="3"/>
      <c r="E31" s="49"/>
      <c r="F31" s="49" t="s">
        <v>79</v>
      </c>
      <c r="G31" s="49" t="s">
        <v>80</v>
      </c>
      <c r="H31" s="49"/>
      <c r="I31" s="49"/>
      <c r="J31" s="49"/>
    </row>
    <row r="32" spans="2:15" x14ac:dyDescent="0.25">
      <c r="B32" s="3" t="s">
        <v>74</v>
      </c>
      <c r="C32" s="223">
        <f>14478283-876218.91</f>
        <v>13602064.09</v>
      </c>
      <c r="D32" s="223">
        <f>+E32-C32</f>
        <v>-2513191.7200000007</v>
      </c>
      <c r="E32" s="227">
        <f>11703246-614373.63</f>
        <v>11088872.369999999</v>
      </c>
      <c r="F32" s="227">
        <f>3152032-300150.78</f>
        <v>2851881.2199999997</v>
      </c>
      <c r="G32" s="227">
        <v>0</v>
      </c>
      <c r="H32" s="227">
        <v>77780</v>
      </c>
      <c r="I32" s="227">
        <v>-1234272</v>
      </c>
      <c r="J32" s="227">
        <v>9707706</v>
      </c>
      <c r="L32" s="281"/>
      <c r="N32" s="319"/>
      <c r="O32" s="282"/>
    </row>
    <row r="33" spans="2:15" x14ac:dyDescent="0.25">
      <c r="B33" s="3" t="s">
        <v>75</v>
      </c>
      <c r="C33" s="223">
        <f>53053727-3210786.74</f>
        <v>49842940.259999998</v>
      </c>
      <c r="D33" s="223">
        <f t="shared" ref="D33:D35" si="3">+E33-C33</f>
        <v>5109377.07</v>
      </c>
      <c r="E33" s="227">
        <f>57996924-3044606.67</f>
        <v>54952317.329999998</v>
      </c>
      <c r="F33" s="227">
        <f>37103789-3533191.06</f>
        <v>33570597.939999998</v>
      </c>
      <c r="G33" s="227">
        <v>0</v>
      </c>
      <c r="H33" s="227">
        <v>820972</v>
      </c>
      <c r="I33" s="227">
        <v>2155210</v>
      </c>
      <c r="J33" s="227">
        <v>17916953</v>
      </c>
      <c r="N33" s="319"/>
      <c r="O33" s="282"/>
    </row>
    <row r="34" spans="2:15" x14ac:dyDescent="0.25">
      <c r="B34" s="3" t="s">
        <v>76</v>
      </c>
      <c r="C34" s="223">
        <f>12081345-731157.35</f>
        <v>11350187.65</v>
      </c>
      <c r="D34" s="223">
        <f t="shared" si="3"/>
        <v>-558293.34999999963</v>
      </c>
      <c r="E34" s="227">
        <f>11389814-597919.7</f>
        <v>10791894.300000001</v>
      </c>
      <c r="F34" s="227">
        <f>4447994-423558.16</f>
        <v>4024435.84</v>
      </c>
      <c r="G34" s="227">
        <v>0</v>
      </c>
      <c r="H34" s="227">
        <v>69155</v>
      </c>
      <c r="I34" s="227">
        <v>742446</v>
      </c>
      <c r="J34" s="227">
        <v>6130218</v>
      </c>
      <c r="N34" s="319"/>
      <c r="O34" s="282"/>
    </row>
    <row r="35" spans="2:15" x14ac:dyDescent="0.25">
      <c r="B35" s="3" t="s">
        <v>238</v>
      </c>
      <c r="C35" s="223">
        <v>906713</v>
      </c>
      <c r="D35" s="223">
        <f t="shared" si="3"/>
        <v>-220073</v>
      </c>
      <c r="E35" s="227">
        <v>686640</v>
      </c>
      <c r="F35" s="227">
        <v>0</v>
      </c>
      <c r="G35" s="227">
        <v>0</v>
      </c>
      <c r="H35" s="227">
        <v>0</v>
      </c>
      <c r="I35" s="227">
        <v>686640</v>
      </c>
      <c r="J35" s="227">
        <v>0</v>
      </c>
      <c r="O35" s="282"/>
    </row>
    <row r="36" spans="2:15" s="113" customFormat="1" x14ac:dyDescent="0.25">
      <c r="B36" s="283"/>
      <c r="C36" s="321"/>
      <c r="D36" s="223"/>
      <c r="E36" s="322"/>
      <c r="F36" s="322"/>
      <c r="G36" s="322"/>
      <c r="H36" s="322"/>
      <c r="I36" s="322"/>
      <c r="J36" s="322"/>
    </row>
    <row r="37" spans="2:15" x14ac:dyDescent="0.25">
      <c r="B37" s="3"/>
      <c r="C37" s="3"/>
      <c r="D37" s="3"/>
      <c r="E37" s="227"/>
      <c r="F37" s="227"/>
      <c r="G37" s="227"/>
      <c r="H37" s="227"/>
      <c r="I37" s="227"/>
      <c r="J37" s="227"/>
    </row>
    <row r="38" spans="2:15" x14ac:dyDescent="0.25">
      <c r="B38" s="3"/>
      <c r="C38" s="3"/>
      <c r="D38" s="3"/>
      <c r="E38" s="227"/>
      <c r="F38" s="227"/>
      <c r="G38" s="227"/>
      <c r="H38" s="227"/>
      <c r="I38" s="227"/>
      <c r="J38" s="227"/>
    </row>
    <row r="39" spans="2:15" x14ac:dyDescent="0.25">
      <c r="B39" s="60" t="s">
        <v>234</v>
      </c>
      <c r="C39" s="228">
        <f>SUM(C32:C38)</f>
        <v>75701905</v>
      </c>
      <c r="D39" s="228">
        <f>SUM(D32:D38)</f>
        <v>1817819</v>
      </c>
      <c r="E39" s="228">
        <f t="shared" ref="E39:J39" si="4">SUM(E32:E38)</f>
        <v>77519724</v>
      </c>
      <c r="F39" s="228">
        <f t="shared" si="4"/>
        <v>40446915</v>
      </c>
      <c r="G39" s="228">
        <f t="shared" si="4"/>
        <v>0</v>
      </c>
      <c r="H39" s="228">
        <f t="shared" si="4"/>
        <v>967907</v>
      </c>
      <c r="I39" s="228">
        <f t="shared" si="4"/>
        <v>2350024</v>
      </c>
      <c r="J39" s="228">
        <f t="shared" si="4"/>
        <v>33754877</v>
      </c>
    </row>
    <row r="40" spans="2:15" s="64" customFormat="1" x14ac:dyDescent="0.25">
      <c r="C40" s="285"/>
      <c r="D40" s="285"/>
      <c r="E40" s="285"/>
      <c r="F40" s="229"/>
      <c r="G40" s="229"/>
      <c r="H40" s="229"/>
    </row>
    <row r="41" spans="2:15" s="64" customFormat="1" x14ac:dyDescent="0.25">
      <c r="C41" s="65"/>
      <c r="D41" s="65"/>
      <c r="E41" s="65"/>
      <c r="F41" s="229"/>
      <c r="G41" s="229"/>
      <c r="H41" s="229"/>
    </row>
    <row r="42" spans="2:15" s="64" customFormat="1" x14ac:dyDescent="0.25">
      <c r="B42" s="352" t="s">
        <v>219</v>
      </c>
      <c r="C42" s="353"/>
      <c r="D42" s="353"/>
      <c r="E42" s="353"/>
      <c r="F42" s="353"/>
      <c r="G42" s="353"/>
      <c r="H42" s="354"/>
    </row>
    <row r="43" spans="2:15" s="64" customFormat="1" ht="42.6" customHeight="1" x14ac:dyDescent="0.25">
      <c r="B43" s="3" t="s">
        <v>82</v>
      </c>
      <c r="C43" s="3" t="s">
        <v>86</v>
      </c>
      <c r="D43" s="49" t="s">
        <v>84</v>
      </c>
      <c r="E43" s="49" t="s">
        <v>87</v>
      </c>
      <c r="F43" s="257" t="s">
        <v>240</v>
      </c>
      <c r="G43" s="49" t="s">
        <v>231</v>
      </c>
      <c r="H43" s="49" t="s">
        <v>232</v>
      </c>
    </row>
    <row r="44" spans="2:15" s="64" customFormat="1" x14ac:dyDescent="0.25">
      <c r="B44" s="3" t="s">
        <v>74</v>
      </c>
      <c r="C44" s="223">
        <v>0</v>
      </c>
      <c r="D44" s="223">
        <v>0</v>
      </c>
      <c r="E44" s="227">
        <f>SUM(F44:H44)</f>
        <v>0</v>
      </c>
      <c r="F44" s="227">
        <v>0</v>
      </c>
      <c r="G44" s="227">
        <v>0</v>
      </c>
      <c r="H44" s="227">
        <v>0</v>
      </c>
    </row>
    <row r="45" spans="2:15" s="64" customFormat="1" x14ac:dyDescent="0.25">
      <c r="B45" s="3" t="s">
        <v>75</v>
      </c>
      <c r="C45" s="223">
        <v>3690240</v>
      </c>
      <c r="D45" s="223">
        <f>+E45-C45</f>
        <v>2728592</v>
      </c>
      <c r="E45" s="227">
        <v>6418832</v>
      </c>
      <c r="F45" s="227">
        <v>0</v>
      </c>
      <c r="G45" s="227">
        <v>6418832</v>
      </c>
      <c r="H45" s="227">
        <v>0</v>
      </c>
    </row>
    <row r="46" spans="2:15" s="64" customFormat="1" x14ac:dyDescent="0.25">
      <c r="B46" s="3" t="s">
        <v>76</v>
      </c>
      <c r="C46" s="223">
        <f>2697120</f>
        <v>2697120</v>
      </c>
      <c r="D46" s="223">
        <f>+E46-C46</f>
        <v>1521932</v>
      </c>
      <c r="E46" s="227">
        <v>4219052</v>
      </c>
      <c r="F46" s="227">
        <v>0</v>
      </c>
      <c r="G46" s="227">
        <v>4219052</v>
      </c>
      <c r="H46" s="227">
        <v>0</v>
      </c>
    </row>
    <row r="47" spans="2:15" s="64" customFormat="1" x14ac:dyDescent="0.25">
      <c r="B47" s="3" t="s">
        <v>88</v>
      </c>
      <c r="C47" s="223">
        <v>0</v>
      </c>
      <c r="D47" s="223">
        <f t="shared" ref="D47:D48" si="5">+E47-C47</f>
        <v>0</v>
      </c>
      <c r="E47" s="227">
        <f t="shared" ref="E47" si="6">SUM(F47:H47)</f>
        <v>0</v>
      </c>
      <c r="F47" s="227">
        <v>0</v>
      </c>
      <c r="G47" s="227">
        <v>0</v>
      </c>
      <c r="H47" s="227">
        <v>0</v>
      </c>
    </row>
    <row r="48" spans="2:15" s="64" customFormat="1" x14ac:dyDescent="0.25">
      <c r="B48" s="3" t="s">
        <v>89</v>
      </c>
      <c r="C48" s="223">
        <v>647695</v>
      </c>
      <c r="D48" s="223">
        <f t="shared" si="5"/>
        <v>-20608</v>
      </c>
      <c r="E48" s="227">
        <v>627087</v>
      </c>
      <c r="F48" s="227">
        <v>0</v>
      </c>
      <c r="G48" s="227">
        <v>0</v>
      </c>
      <c r="H48" s="227">
        <v>0</v>
      </c>
    </row>
    <row r="49" spans="2:10" s="64" customFormat="1" x14ac:dyDescent="0.25">
      <c r="B49" s="60" t="s">
        <v>233</v>
      </c>
      <c r="C49" s="228">
        <f>SUM(C44:C48)</f>
        <v>7035055</v>
      </c>
      <c r="D49" s="228">
        <f>SUM(D44:D48)</f>
        <v>4229916</v>
      </c>
      <c r="E49" s="228">
        <f>SUM(E44:E48)</f>
        <v>11264971</v>
      </c>
      <c r="F49" s="228">
        <f t="shared" ref="F49:H49" si="7">SUM(F44:F48)</f>
        <v>0</v>
      </c>
      <c r="G49" s="228">
        <f t="shared" si="7"/>
        <v>10637884</v>
      </c>
      <c r="H49" s="228">
        <f t="shared" si="7"/>
        <v>0</v>
      </c>
    </row>
    <row r="50" spans="2:10" s="64" customFormat="1" x14ac:dyDescent="0.25">
      <c r="C50" s="65"/>
      <c r="D50" s="65"/>
      <c r="E50" s="65"/>
      <c r="F50" s="64" t="s">
        <v>241</v>
      </c>
      <c r="G50" s="229"/>
      <c r="H50" s="229"/>
    </row>
    <row r="51" spans="2:10" s="64" customFormat="1" ht="15.75" thickBot="1" x14ac:dyDescent="0.3">
      <c r="B51" s="218"/>
      <c r="C51" s="229"/>
      <c r="D51" s="229"/>
      <c r="E51" s="229"/>
      <c r="F51" s="229"/>
      <c r="G51" s="229"/>
      <c r="H51" s="229"/>
    </row>
    <row r="52" spans="2:10" s="64" customFormat="1" ht="30" x14ac:dyDescent="0.25">
      <c r="B52" s="230"/>
      <c r="C52" s="231" t="s">
        <v>90</v>
      </c>
      <c r="D52" s="231" t="s">
        <v>84</v>
      </c>
      <c r="E52" s="231" t="s">
        <v>78</v>
      </c>
      <c r="F52" s="232" t="s">
        <v>91</v>
      </c>
      <c r="G52" s="229"/>
      <c r="H52" s="229"/>
      <c r="I52" s="229"/>
    </row>
    <row r="53" spans="2:10" s="64" customFormat="1" x14ac:dyDescent="0.25">
      <c r="B53" s="242" t="s">
        <v>92</v>
      </c>
      <c r="C53" s="241">
        <f>C39+C49</f>
        <v>82736960</v>
      </c>
      <c r="D53" s="241">
        <f>D39+D49</f>
        <v>6047735</v>
      </c>
      <c r="E53" s="298">
        <f>D53/C53</f>
        <v>7.3095929557962971E-2</v>
      </c>
      <c r="F53" s="243">
        <f>E39+E49</f>
        <v>88784695</v>
      </c>
      <c r="G53" s="229"/>
      <c r="H53" s="229"/>
      <c r="I53" s="229"/>
    </row>
    <row r="54" spans="2:10" s="64" customFormat="1" x14ac:dyDescent="0.25">
      <c r="B54" s="242" t="s">
        <v>93</v>
      </c>
      <c r="C54" s="244">
        <f>'1. Reconciliation'!C11</f>
        <v>82736965</v>
      </c>
      <c r="D54" s="244">
        <f>'1. Reconciliation'!C25</f>
        <v>6047731</v>
      </c>
      <c r="E54" s="245">
        <f>'1. Reconciliation'!C26</f>
        <v>7.3095876794610493E-2</v>
      </c>
      <c r="F54" s="246">
        <f>'1. Reconciliation'!C23</f>
        <v>88784696</v>
      </c>
      <c r="G54" s="229"/>
      <c r="H54" s="229"/>
      <c r="I54" s="229"/>
    </row>
    <row r="55" spans="2:10" s="64" customFormat="1" ht="18" customHeight="1" thickBot="1" x14ac:dyDescent="0.3">
      <c r="B55" s="247" t="s">
        <v>94</v>
      </c>
      <c r="C55" s="248">
        <f>C53-C54</f>
        <v>-5</v>
      </c>
      <c r="D55" s="248">
        <f>D53-D54</f>
        <v>4</v>
      </c>
      <c r="E55" s="248">
        <f t="shared" ref="E55:F55" si="8">E53-E54</f>
        <v>5.2763352478835124E-8</v>
      </c>
      <c r="F55" s="249">
        <f t="shared" si="8"/>
        <v>-1</v>
      </c>
      <c r="G55" s="229"/>
      <c r="H55" s="229"/>
      <c r="I55" s="229"/>
    </row>
    <row r="56" spans="2:10" s="64" customFormat="1" x14ac:dyDescent="0.25">
      <c r="G56" s="229"/>
      <c r="H56" s="229"/>
      <c r="I56" s="229"/>
      <c r="J56" s="1"/>
    </row>
    <row r="57" spans="2:10" x14ac:dyDescent="0.25">
      <c r="B57" s="233"/>
      <c r="C57" s="234"/>
      <c r="D57" s="235"/>
      <c r="E57" s="236"/>
      <c r="F57" s="236"/>
      <c r="G57" s="236"/>
      <c r="H57" s="237"/>
    </row>
    <row r="58" spans="2:10" x14ac:dyDescent="0.25">
      <c r="B58" s="357" t="s">
        <v>95</v>
      </c>
      <c r="C58" s="358"/>
      <c r="D58" s="358"/>
      <c r="E58" s="358"/>
      <c r="F58" s="358"/>
      <c r="G58" s="359"/>
      <c r="H58" s="237"/>
    </row>
    <row r="59" spans="2:10" x14ac:dyDescent="0.25">
      <c r="B59" s="352" t="s">
        <v>96</v>
      </c>
      <c r="C59" s="353"/>
      <c r="D59" s="353"/>
      <c r="E59" s="353"/>
      <c r="F59" s="353"/>
      <c r="G59" s="354"/>
      <c r="H59" s="238"/>
    </row>
    <row r="60" spans="2:10" x14ac:dyDescent="0.25">
      <c r="B60" s="347">
        <v>559390</v>
      </c>
      <c r="C60" s="348"/>
      <c r="D60" s="348"/>
      <c r="E60" s="348"/>
      <c r="F60" s="348"/>
      <c r="G60" s="348"/>
    </row>
    <row r="61" spans="2:10" x14ac:dyDescent="0.25">
      <c r="B61" s="348"/>
      <c r="C61" s="348"/>
      <c r="D61" s="348"/>
      <c r="E61" s="348"/>
      <c r="F61" s="348"/>
      <c r="G61" s="348"/>
    </row>
    <row r="62" spans="2:10" x14ac:dyDescent="0.25">
      <c r="B62" s="348"/>
      <c r="C62" s="348"/>
      <c r="D62" s="348"/>
      <c r="E62" s="348"/>
      <c r="F62" s="348"/>
      <c r="G62" s="348"/>
    </row>
    <row r="63" spans="2:10" x14ac:dyDescent="0.25">
      <c r="B63" s="348"/>
      <c r="C63" s="348"/>
      <c r="D63" s="348"/>
      <c r="E63" s="348"/>
      <c r="F63" s="348"/>
      <c r="G63" s="348"/>
    </row>
    <row r="64" spans="2:10" x14ac:dyDescent="0.25">
      <c r="B64" s="348"/>
      <c r="C64" s="348"/>
      <c r="D64" s="348"/>
      <c r="E64" s="348"/>
      <c r="F64" s="348"/>
      <c r="G64" s="348"/>
    </row>
    <row r="67" spans="3:3" x14ac:dyDescent="0.25">
      <c r="C67" s="20"/>
    </row>
  </sheetData>
  <customSheetViews>
    <customSheetView guid="{44973865-8AD1-45FA-8A45-05D76FF96A5F}" scale="90" showPageBreaks="1" showGridLines="0" fitToPage="1" printArea="1" topLeftCell="A4">
      <selection activeCell="A64" sqref="A1:J64"/>
      <pageMargins left="0.7" right="0.7" top="0.75" bottom="0.75" header="0.3" footer="0.3"/>
      <pageSetup scale="54" orientation="landscape" r:id="rId1"/>
      <headerFooter>
        <oddFooter>&amp;L&amp;D&amp;R&amp;F,&amp;A,</oddFooter>
      </headerFooter>
    </customSheetView>
    <customSheetView guid="{7A66AF9E-81E8-451B-9A4F-DFE08BFB5947}" scale="90" showPageBreaks="1" showGridLines="0" fitToPage="1" printArea="1">
      <selection activeCell="A64" sqref="A1:J64"/>
      <pageMargins left="0.7" right="0.7" top="0.75" bottom="0.75" header="0.3" footer="0.3"/>
      <pageSetup scale="54" orientation="landscape" r:id="rId2"/>
      <headerFooter>
        <oddFooter>&amp;L&amp;D&amp;R&amp;F,&amp;A,</oddFooter>
      </headerFooter>
    </customSheetView>
    <customSheetView guid="{670863B2-8243-412A-8B8D-30885F188694}" scale="90" showGridLines="0" fitToPage="1">
      <selection activeCell="A64" sqref="A1:J64"/>
      <pageMargins left="0.7" right="0.7" top="0.75" bottom="0.75" header="0.3" footer="0.3"/>
      <pageSetup scale="54" orientation="landscape" r:id="rId3"/>
      <headerFooter>
        <oddFooter>&amp;L&amp;D&amp;R&amp;F,&amp;A,</oddFooter>
      </headerFooter>
    </customSheetView>
    <customSheetView guid="{7E96D643-834B-40CD-8E58-19C1F2E2A6F1}" scale="90" showGridLines="0" fitToPage="1">
      <selection activeCell="A64" sqref="A1:J64"/>
      <pageMargins left="0.7" right="0.7" top="0.75" bottom="0.75" header="0.3" footer="0.3"/>
      <pageSetup scale="54" orientation="landscape" r:id="rId4"/>
      <headerFooter>
        <oddFooter>&amp;L&amp;D&amp;R&amp;F,&amp;A,</oddFooter>
      </headerFooter>
    </customSheetView>
    <customSheetView guid="{370A90FE-A320-447B-8995-A714325CBEA5}" scale="90" showPageBreaks="1" showGridLines="0" fitToPage="1" printArea="1" topLeftCell="A22">
      <selection activeCell="K37" sqref="K37"/>
      <pageMargins left="0.7" right="0.7" top="0.75" bottom="0.75" header="0.3" footer="0.3"/>
      <pageSetup scale="54" orientation="landscape" r:id="rId5"/>
      <headerFooter>
        <oddFooter>&amp;L&amp;D&amp;R&amp;F,&amp;A,</oddFooter>
      </headerFooter>
    </customSheetView>
  </customSheetViews>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54" orientation="landscape" r:id="rId6"/>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N20"/>
  <sheetViews>
    <sheetView showGridLines="0" zoomScale="90" zoomScaleNormal="90" workbookViewId="0">
      <selection sqref="A1:D25"/>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7.28515625" style="1" bestFit="1" customWidth="1"/>
    <col min="6" max="9" width="8.85546875" style="1"/>
    <col min="10" max="11" width="13.5703125" style="282" bestFit="1" customWidth="1"/>
    <col min="12" max="12" width="13.140625" style="282" bestFit="1" customWidth="1"/>
    <col min="13" max="14" width="8.85546875" style="282"/>
    <col min="15" max="16384" width="8.85546875" style="1"/>
  </cols>
  <sheetData>
    <row r="1" spans="2:5" x14ac:dyDescent="0.25">
      <c r="B1" s="362" t="s">
        <v>97</v>
      </c>
      <c r="C1" s="362"/>
      <c r="D1" s="362"/>
    </row>
    <row r="2" spans="2:5" ht="21" x14ac:dyDescent="0.35">
      <c r="B2" s="363" t="s">
        <v>5</v>
      </c>
      <c r="C2" s="364"/>
      <c r="D2" s="365"/>
    </row>
    <row r="3" spans="2:5" ht="18.75" x14ac:dyDescent="0.3">
      <c r="B3" s="367" t="s">
        <v>98</v>
      </c>
      <c r="C3" s="368"/>
      <c r="D3" s="369"/>
    </row>
    <row r="4" spans="2:5" ht="85.5" customHeight="1" x14ac:dyDescent="0.25">
      <c r="B4" s="366" t="s">
        <v>236</v>
      </c>
      <c r="C4" s="366"/>
      <c r="D4" s="366"/>
      <c r="E4" s="113"/>
    </row>
    <row r="5" spans="2:5" x14ac:dyDescent="0.25">
      <c r="B5" s="21"/>
      <c r="C5" s="2"/>
      <c r="D5" s="2"/>
      <c r="E5" s="113"/>
    </row>
    <row r="6" spans="2:5" x14ac:dyDescent="0.25">
      <c r="B6" s="371" t="s">
        <v>99</v>
      </c>
      <c r="C6" s="370" t="s">
        <v>100</v>
      </c>
      <c r="D6" s="370" t="s">
        <v>101</v>
      </c>
      <c r="E6" s="113"/>
    </row>
    <row r="7" spans="2:5" x14ac:dyDescent="0.25">
      <c r="B7" s="371"/>
      <c r="C7" s="370"/>
      <c r="D7" s="370"/>
      <c r="E7" s="113"/>
    </row>
    <row r="8" spans="2:5" x14ac:dyDescent="0.25">
      <c r="B8" s="82" t="s">
        <v>22</v>
      </c>
      <c r="C8" s="324">
        <v>1.9255</v>
      </c>
      <c r="D8" s="323">
        <v>5272277</v>
      </c>
      <c r="E8" s="311"/>
    </row>
    <row r="9" spans="2:5" x14ac:dyDescent="0.25">
      <c r="B9" s="283" t="s">
        <v>257</v>
      </c>
      <c r="C9" s="50">
        <v>1.281019071333142</v>
      </c>
      <c r="D9" s="278">
        <v>4151770</v>
      </c>
      <c r="E9" s="311"/>
    </row>
    <row r="10" spans="2:5" x14ac:dyDescent="0.25">
      <c r="B10" s="3" t="s">
        <v>258</v>
      </c>
      <c r="C10" s="50">
        <v>-1.4823822350578064</v>
      </c>
      <c r="D10" s="278">
        <v>-4804386</v>
      </c>
      <c r="E10" s="311"/>
    </row>
    <row r="11" spans="2:5" x14ac:dyDescent="0.25">
      <c r="B11" s="3" t="s">
        <v>259</v>
      </c>
      <c r="C11" s="50">
        <v>0.25941085902764277</v>
      </c>
      <c r="D11" s="278">
        <v>840748</v>
      </c>
      <c r="E11" s="311"/>
    </row>
    <row r="12" spans="2:5" x14ac:dyDescent="0.25">
      <c r="B12" s="3" t="s">
        <v>260</v>
      </c>
      <c r="C12" s="50">
        <v>0.51644744352805783</v>
      </c>
      <c r="D12" s="278">
        <v>1673801</v>
      </c>
      <c r="E12" s="311"/>
    </row>
    <row r="13" spans="2:5" x14ac:dyDescent="0.25">
      <c r="B13" s="3" t="s">
        <v>261</v>
      </c>
      <c r="C13" s="50">
        <v>0.65919086451979181</v>
      </c>
      <c r="D13" s="278">
        <v>2136431</v>
      </c>
      <c r="E13" s="311"/>
    </row>
    <row r="14" spans="2:5" x14ac:dyDescent="0.25">
      <c r="B14" s="3" t="s">
        <v>262</v>
      </c>
      <c r="C14" s="50">
        <v>-0.1844501217220664</v>
      </c>
      <c r="D14" s="278">
        <v>-597801</v>
      </c>
      <c r="E14" s="311"/>
    </row>
    <row r="15" spans="2:5" x14ac:dyDescent="0.25">
      <c r="B15" s="3" t="s">
        <v>263</v>
      </c>
      <c r="C15" s="50">
        <v>-4.923588162876158E-2</v>
      </c>
      <c r="D15" s="278">
        <v>-159573</v>
      </c>
      <c r="E15" s="311"/>
    </row>
    <row r="16" spans="2:5" x14ac:dyDescent="0.25">
      <c r="B16" s="82" t="s">
        <v>29</v>
      </c>
      <c r="C16" s="276">
        <v>1</v>
      </c>
      <c r="D16" s="277">
        <v>3240990</v>
      </c>
      <c r="E16" s="311"/>
    </row>
    <row r="17" spans="2:5" x14ac:dyDescent="0.25">
      <c r="B17" s="78"/>
      <c r="C17" s="45"/>
      <c r="D17" s="45"/>
      <c r="E17" s="113"/>
    </row>
    <row r="18" spans="2:5" x14ac:dyDescent="0.25">
      <c r="B18" s="29" t="s">
        <v>102</v>
      </c>
      <c r="C18" s="109"/>
      <c r="D18" s="83">
        <f>SUM(D9:D15)</f>
        <v>3240990</v>
      </c>
      <c r="E18" s="113"/>
    </row>
    <row r="19" spans="2:5" x14ac:dyDescent="0.25">
      <c r="B19" s="29" t="s">
        <v>103</v>
      </c>
      <c r="C19" s="284">
        <f>D18/202715312</f>
        <v>1.5987889459480001E-2</v>
      </c>
      <c r="D19" s="110"/>
    </row>
    <row r="20" spans="2:5" x14ac:dyDescent="0.25">
      <c r="B20" s="78" t="s">
        <v>104</v>
      </c>
    </row>
  </sheetData>
  <customSheetViews>
    <customSheetView guid="{44973865-8AD1-45FA-8A45-05D76FF96A5F}" scale="90" showPageBreaks="1" showGridLines="0" fitToPage="1" printArea="1">
      <selection sqref="A1:D25"/>
      <pageMargins left="0.7" right="0.7" top="0.75" bottom="0.75" header="0.3" footer="0.3"/>
      <pageSetup orientation="landscape" r:id="rId1"/>
      <headerFooter>
        <oddFooter>&amp;L&amp;D&amp;R&amp;F,&amp;A</oddFooter>
      </headerFooter>
    </customSheetView>
    <customSheetView guid="{7A66AF9E-81E8-451B-9A4F-DFE08BFB5947}" scale="90" showPageBreaks="1" showGridLines="0" fitToPage="1" printArea="1">
      <selection sqref="A1:D25"/>
      <pageMargins left="0.7" right="0.7" top="0.75" bottom="0.75" header="0.3" footer="0.3"/>
      <pageSetup orientation="landscape" r:id="rId2"/>
      <headerFooter>
        <oddFooter>&amp;L&amp;D&amp;R&amp;F,&amp;A</oddFooter>
      </headerFooter>
    </customSheetView>
    <customSheetView guid="{670863B2-8243-412A-8B8D-30885F188694}" scale="90" showGridLines="0" fitToPage="1">
      <selection sqref="A1:D25"/>
      <pageMargins left="0.7" right="0.7" top="0.75" bottom="0.75" header="0.3" footer="0.3"/>
      <pageSetup orientation="landscape" r:id="rId3"/>
      <headerFooter>
        <oddFooter>&amp;L&amp;D&amp;R&amp;F,&amp;A</oddFooter>
      </headerFooter>
    </customSheetView>
    <customSheetView guid="{7E96D643-834B-40CD-8E58-19C1F2E2A6F1}" scale="90" showGridLines="0" fitToPage="1">
      <selection sqref="A1:D25"/>
      <pageMargins left="0.7" right="0.7" top="0.75" bottom="0.75" header="0.3" footer="0.3"/>
      <pageSetup orientation="landscape" r:id="rId4"/>
      <headerFooter>
        <oddFooter>&amp;L&amp;D&amp;R&amp;F,&amp;A</oddFooter>
      </headerFooter>
    </customSheetView>
    <customSheetView guid="{370A90FE-A320-447B-8995-A714325CBEA5}" scale="90" showPageBreaks="1" showGridLines="0" fitToPage="1" printArea="1">
      <selection activeCell="K14" sqref="K14"/>
      <pageMargins left="0.7" right="0.7" top="0.75" bottom="0.75" header="0.3" footer="0.3"/>
      <pageSetup orientation="landscape" r:id="rId5"/>
      <headerFooter>
        <oddFooter>&amp;L&amp;D&amp;R&amp;F,&amp;A</oddFooter>
      </headerFooter>
    </customSheetView>
  </customSheetViews>
  <mergeCells count="7">
    <mergeCell ref="B1:D1"/>
    <mergeCell ref="B2:D2"/>
    <mergeCell ref="B4:D4"/>
    <mergeCell ref="B3:D3"/>
    <mergeCell ref="C6:C7"/>
    <mergeCell ref="B6:B7"/>
    <mergeCell ref="D6:D7"/>
  </mergeCells>
  <pageMargins left="0.7" right="0.7" top="0.75" bottom="0.75" header="0.3" footer="0.3"/>
  <pageSetup orientation="landscape" r:id="rId6"/>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pageSetUpPr fitToPage="1"/>
  </sheetPr>
  <dimension ref="B1:G26"/>
  <sheetViews>
    <sheetView showGridLines="0" zoomScale="77" zoomScaleNormal="110" workbookViewId="0">
      <selection activeCell="B1" sqref="B1:H25"/>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329" t="s">
        <v>105</v>
      </c>
      <c r="C1" s="329"/>
      <c r="D1" s="329"/>
      <c r="E1" s="329"/>
      <c r="F1" s="329"/>
      <c r="G1" s="329"/>
    </row>
    <row r="2" spans="2:7" ht="18.75" x14ac:dyDescent="0.3">
      <c r="B2" s="373" t="s">
        <v>13</v>
      </c>
      <c r="C2" s="374"/>
      <c r="D2" s="374"/>
      <c r="E2" s="374"/>
      <c r="F2" s="374"/>
      <c r="G2" s="375"/>
    </row>
    <row r="3" spans="2:7" ht="18.75" x14ac:dyDescent="0.3">
      <c r="B3" s="367" t="s">
        <v>106</v>
      </c>
      <c r="C3" s="368"/>
      <c r="D3" s="368"/>
      <c r="E3" s="368"/>
      <c r="F3" s="368"/>
      <c r="G3" s="369"/>
    </row>
    <row r="4" spans="2:7" ht="63" customHeight="1" x14ac:dyDescent="0.25">
      <c r="B4" s="376" t="s">
        <v>214</v>
      </c>
      <c r="C4" s="376"/>
      <c r="D4" s="376"/>
      <c r="E4" s="376"/>
      <c r="F4" s="376"/>
      <c r="G4" s="376"/>
    </row>
    <row r="5" spans="2:7" ht="17.45" customHeight="1" x14ac:dyDescent="0.25">
      <c r="B5" s="48" t="s">
        <v>107</v>
      </c>
      <c r="C5" s="377" t="s">
        <v>108</v>
      </c>
      <c r="D5" s="378"/>
      <c r="E5" s="378"/>
      <c r="F5" s="379"/>
      <c r="G5" s="59" t="s">
        <v>109</v>
      </c>
    </row>
    <row r="6" spans="2:7" ht="31.5" customHeight="1" x14ac:dyDescent="0.25">
      <c r="B6" s="16"/>
      <c r="C6" s="51" t="s">
        <v>110</v>
      </c>
      <c r="D6" s="304" t="s">
        <v>111</v>
      </c>
      <c r="E6" s="250" t="s">
        <v>112</v>
      </c>
      <c r="F6" s="250" t="s">
        <v>243</v>
      </c>
      <c r="G6" s="16"/>
    </row>
    <row r="7" spans="2:7" ht="31.5" customHeight="1" x14ac:dyDescent="0.25">
      <c r="B7" s="251" t="s">
        <v>113</v>
      </c>
      <c r="C7" s="252"/>
      <c r="D7" s="313"/>
      <c r="E7" s="253"/>
      <c r="F7" s="254"/>
      <c r="G7" s="251" t="s">
        <v>114</v>
      </c>
    </row>
    <row r="8" spans="2:7" ht="27" customHeight="1" x14ac:dyDescent="0.25">
      <c r="B8" s="16" t="s">
        <v>115</v>
      </c>
      <c r="C8" s="51">
        <v>0.02</v>
      </c>
      <c r="D8" s="304">
        <f>347854+32811</f>
        <v>380665</v>
      </c>
      <c r="E8" s="51">
        <v>0.19348894326406832</v>
      </c>
      <c r="F8" s="9">
        <f>C8*E8</f>
        <v>3.8697788652813665E-3</v>
      </c>
      <c r="G8" s="16" t="s">
        <v>274</v>
      </c>
    </row>
    <row r="9" spans="2:7" ht="27" customHeight="1" x14ac:dyDescent="0.25">
      <c r="B9" s="16" t="s">
        <v>116</v>
      </c>
      <c r="C9" s="51">
        <v>3.3000000000000002E-2</v>
      </c>
      <c r="D9" s="304">
        <f>894483+84371</f>
        <v>978854</v>
      </c>
      <c r="E9" s="51">
        <v>0.2897786473461183</v>
      </c>
      <c r="F9" s="9">
        <f t="shared" ref="F9:F22" si="0">C9*E9</f>
        <v>9.5626953624219045E-3</v>
      </c>
      <c r="G9" s="16" t="s">
        <v>276</v>
      </c>
    </row>
    <row r="10" spans="2:7" ht="27" customHeight="1" x14ac:dyDescent="0.25">
      <c r="B10" s="16" t="s">
        <v>273</v>
      </c>
      <c r="C10" s="51">
        <v>0</v>
      </c>
      <c r="D10" s="304">
        <v>0</v>
      </c>
      <c r="E10" s="51">
        <v>2.5865016118702008E-2</v>
      </c>
      <c r="F10" s="9">
        <f t="shared" si="0"/>
        <v>0</v>
      </c>
      <c r="G10" s="16"/>
    </row>
    <row r="11" spans="2:7" ht="27" customHeight="1" x14ac:dyDescent="0.25">
      <c r="B11" s="30" t="s">
        <v>246</v>
      </c>
      <c r="C11" s="51">
        <v>0.03</v>
      </c>
      <c r="D11" s="304">
        <f>416584+39293</f>
        <v>455877</v>
      </c>
      <c r="E11" s="51">
        <v>0.14664212497548498</v>
      </c>
      <c r="F11" s="9">
        <f t="shared" si="0"/>
        <v>4.3992637492645493E-3</v>
      </c>
      <c r="G11" s="303" t="s">
        <v>281</v>
      </c>
    </row>
    <row r="12" spans="2:7" ht="27" customHeight="1" x14ac:dyDescent="0.25">
      <c r="B12" s="16" t="s">
        <v>275</v>
      </c>
      <c r="C12" s="51">
        <v>0</v>
      </c>
      <c r="D12" s="304">
        <v>0</v>
      </c>
      <c r="E12" s="51">
        <v>9.2376764992862948E-3</v>
      </c>
      <c r="F12" s="9">
        <f t="shared" si="0"/>
        <v>0</v>
      </c>
      <c r="G12" s="16"/>
    </row>
    <row r="13" spans="2:7" ht="27" customHeight="1" x14ac:dyDescent="0.25">
      <c r="B13" s="16" t="s">
        <v>254</v>
      </c>
      <c r="C13" s="51">
        <v>0</v>
      </c>
      <c r="D13" s="304">
        <v>0</v>
      </c>
      <c r="E13" s="51">
        <v>4.8056541964993357E-2</v>
      </c>
      <c r="F13" s="9">
        <f t="shared" si="0"/>
        <v>0</v>
      </c>
      <c r="G13" s="16"/>
    </row>
    <row r="14" spans="2:7" ht="27" customHeight="1" x14ac:dyDescent="0.25">
      <c r="B14" s="16" t="s">
        <v>277</v>
      </c>
      <c r="C14" s="51">
        <v>0</v>
      </c>
      <c r="D14" s="304">
        <v>0</v>
      </c>
      <c r="E14" s="51">
        <v>1.3984034864815865E-3</v>
      </c>
      <c r="F14" s="9">
        <f t="shared" si="0"/>
        <v>0</v>
      </c>
      <c r="G14" s="16"/>
    </row>
    <row r="15" spans="2:7" ht="27" customHeight="1" x14ac:dyDescent="0.25">
      <c r="B15" s="16" t="s">
        <v>47</v>
      </c>
      <c r="C15" s="51">
        <v>0</v>
      </c>
      <c r="D15" s="304">
        <v>0</v>
      </c>
      <c r="E15" s="51">
        <v>3.8751051424513724E-2</v>
      </c>
      <c r="F15" s="9">
        <f t="shared" si="0"/>
        <v>0</v>
      </c>
      <c r="G15" s="16"/>
    </row>
    <row r="16" spans="2:7" ht="27" customHeight="1" x14ac:dyDescent="0.25">
      <c r="B16" s="16" t="s">
        <v>278</v>
      </c>
      <c r="C16" s="51">
        <v>0</v>
      </c>
      <c r="D16" s="304">
        <v>0</v>
      </c>
      <c r="E16" s="51">
        <v>5.138772099834759E-2</v>
      </c>
      <c r="F16" s="9">
        <f t="shared" si="0"/>
        <v>0</v>
      </c>
      <c r="G16" s="16"/>
    </row>
    <row r="17" spans="2:7" ht="27" customHeight="1" x14ac:dyDescent="0.25">
      <c r="B17" s="16" t="s">
        <v>279</v>
      </c>
      <c r="C17" s="51">
        <v>0</v>
      </c>
      <c r="D17" s="304"/>
      <c r="E17" s="51">
        <v>7.055286489989375E-2</v>
      </c>
      <c r="F17" s="9">
        <f t="shared" si="0"/>
        <v>0</v>
      </c>
      <c r="G17" s="16"/>
    </row>
    <row r="18" spans="2:7" ht="27" customHeight="1" x14ac:dyDescent="0.25">
      <c r="B18" s="16" t="s">
        <v>247</v>
      </c>
      <c r="C18" s="51">
        <v>0.05</v>
      </c>
      <c r="D18" s="304">
        <v>46446</v>
      </c>
      <c r="E18" s="51">
        <v>1.1081835094901217E-2</v>
      </c>
      <c r="F18" s="9">
        <f t="shared" si="0"/>
        <v>5.5409175474506087E-4</v>
      </c>
      <c r="G18" s="303" t="s">
        <v>280</v>
      </c>
    </row>
    <row r="19" spans="2:7" ht="27" customHeight="1" x14ac:dyDescent="0.25">
      <c r="B19" s="30" t="s">
        <v>248</v>
      </c>
      <c r="C19" s="51">
        <v>0.05</v>
      </c>
      <c r="D19" s="304">
        <v>64556</v>
      </c>
      <c r="E19" s="51">
        <v>1.4293246649660108E-2</v>
      </c>
      <c r="F19" s="9">
        <f t="shared" si="0"/>
        <v>7.1466233248300545E-4</v>
      </c>
      <c r="G19" s="16" t="s">
        <v>282</v>
      </c>
    </row>
    <row r="20" spans="2:7" ht="27" customHeight="1" x14ac:dyDescent="0.25">
      <c r="B20" s="30" t="s">
        <v>253</v>
      </c>
      <c r="C20" s="51">
        <v>0</v>
      </c>
      <c r="D20" s="304">
        <v>0</v>
      </c>
      <c r="E20" s="51">
        <v>3.9426909115466938E-2</v>
      </c>
      <c r="F20" s="9">
        <f t="shared" si="0"/>
        <v>0</v>
      </c>
      <c r="G20" s="16"/>
    </row>
    <row r="21" spans="2:7" ht="27" customHeight="1" x14ac:dyDescent="0.25">
      <c r="B21" s="30" t="s">
        <v>283</v>
      </c>
      <c r="C21" s="51">
        <v>0</v>
      </c>
      <c r="D21" s="304">
        <v>0</v>
      </c>
      <c r="E21" s="51">
        <v>4.2149904520887987E-3</v>
      </c>
      <c r="F21" s="9">
        <f t="shared" si="0"/>
        <v>0</v>
      </c>
      <c r="G21" s="16"/>
    </row>
    <row r="22" spans="2:7" ht="27" customHeight="1" x14ac:dyDescent="0.25">
      <c r="B22" s="30" t="s">
        <v>284</v>
      </c>
      <c r="C22" s="51">
        <v>0</v>
      </c>
      <c r="D22" s="304">
        <v>0</v>
      </c>
      <c r="E22" s="51">
        <v>5.5824027709993049E-2</v>
      </c>
      <c r="F22" s="9">
        <f t="shared" si="0"/>
        <v>0</v>
      </c>
      <c r="G22" s="16"/>
    </row>
    <row r="23" spans="2:7" x14ac:dyDescent="0.25">
      <c r="B23" s="11" t="s">
        <v>18</v>
      </c>
      <c r="C23" s="80" t="s">
        <v>117</v>
      </c>
      <c r="D23" s="81">
        <f>SUM(D8:D22)</f>
        <v>1926398</v>
      </c>
      <c r="E23" s="286">
        <v>1</v>
      </c>
      <c r="F23" s="81" t="s">
        <v>117</v>
      </c>
      <c r="G23" s="11"/>
    </row>
    <row r="24" spans="2:7" x14ac:dyDescent="0.25">
      <c r="B24" s="18"/>
      <c r="E24" t="s">
        <v>118</v>
      </c>
    </row>
    <row r="26" spans="2:7" x14ac:dyDescent="0.25">
      <c r="B26" s="372" t="s">
        <v>119</v>
      </c>
      <c r="C26" s="372"/>
      <c r="D26" s="372"/>
      <c r="E26" s="372"/>
      <c r="F26" s="314"/>
    </row>
  </sheetData>
  <customSheetViews>
    <customSheetView guid="{44973865-8AD1-45FA-8A45-05D76FF96A5F}" scale="77" showPageBreaks="1" showGridLines="0" fitToPage="1" printArea="1">
      <selection activeCell="B1" sqref="B1:H25"/>
      <pageMargins left="0.7" right="0.7" top="0.75" bottom="0.75" header="0.3" footer="0.3"/>
      <pageSetup scale="77" orientation="landscape" r:id="rId1"/>
      <headerFooter>
        <oddFooter>&amp;L&amp;D&amp;R&amp;F,&amp;A</oddFooter>
      </headerFooter>
    </customSheetView>
    <customSheetView guid="{7A66AF9E-81E8-451B-9A4F-DFE08BFB5947}" scale="77" showPageBreaks="1" showGridLines="0" fitToPage="1" printArea="1">
      <selection activeCell="B1" sqref="B1:H25"/>
      <pageMargins left="0.7" right="0.7" top="0.75" bottom="0.75" header="0.3" footer="0.3"/>
      <pageSetup scale="77" orientation="landscape" r:id="rId2"/>
      <headerFooter>
        <oddFooter>&amp;L&amp;D&amp;R&amp;F,&amp;A</oddFooter>
      </headerFooter>
    </customSheetView>
    <customSheetView guid="{670863B2-8243-412A-8B8D-30885F188694}" scale="77" showGridLines="0" fitToPage="1">
      <selection activeCell="B1" sqref="B1:H25"/>
      <pageMargins left="0.7" right="0.7" top="0.75" bottom="0.75" header="0.3" footer="0.3"/>
      <pageSetup scale="77" orientation="landscape" r:id="rId3"/>
      <headerFooter>
        <oddFooter>&amp;L&amp;D&amp;R&amp;F,&amp;A</oddFooter>
      </headerFooter>
    </customSheetView>
    <customSheetView guid="{7E96D643-834B-40CD-8E58-19C1F2E2A6F1}" scale="77" showGridLines="0" fitToPage="1">
      <selection activeCell="B1" sqref="B1:H25"/>
      <pageMargins left="0.7" right="0.7" top="0.75" bottom="0.75" header="0.3" footer="0.3"/>
      <pageSetup scale="77" orientation="landscape" r:id="rId4"/>
      <headerFooter>
        <oddFooter>&amp;L&amp;D&amp;R&amp;F,&amp;A</oddFooter>
      </headerFooter>
    </customSheetView>
    <customSheetView guid="{370A90FE-A320-447B-8995-A714325CBEA5}" scale="77" showPageBreaks="1" showGridLines="0" printArea="1">
      <selection activeCell="I21" sqref="I21"/>
      <pageMargins left="0.7" right="0.7" top="0.75" bottom="0.75" header="0.3" footer="0.3"/>
      <pageSetup orientation="landscape" r:id="rId5"/>
      <headerFooter>
        <oddFooter>&amp;L&amp;D&amp;R&amp;F,&amp;A</oddFooter>
      </headerFooter>
    </customSheetView>
  </customSheetViews>
  <mergeCells count="6">
    <mergeCell ref="B26:E26"/>
    <mergeCell ref="B1:G1"/>
    <mergeCell ref="B2:G2"/>
    <mergeCell ref="B4:G4"/>
    <mergeCell ref="C5:F5"/>
    <mergeCell ref="B3:G3"/>
  </mergeCells>
  <pageMargins left="0.7" right="0.7" top="0.75" bottom="0.75" header="0.3" footer="0.3"/>
  <pageSetup scale="77" orientation="landscape" r:id="rId6"/>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F80"/>
  <sheetViews>
    <sheetView showGridLines="0" zoomScale="50" zoomScaleNormal="50" zoomScaleSheetLayoutView="30" workbookViewId="0">
      <selection activeCell="B2" sqref="B2:D48"/>
    </sheetView>
  </sheetViews>
  <sheetFormatPr defaultColWidth="9.140625" defaultRowHeight="15" outlineLevelRow="1" x14ac:dyDescent="0.25"/>
  <cols>
    <col min="1" max="1" width="1.5703125" style="202" customWidth="1"/>
    <col min="2" max="2" width="113.5703125" style="203" customWidth="1"/>
    <col min="3" max="3" width="59.85546875" style="203" customWidth="1"/>
    <col min="4" max="4" width="59.85546875" style="22" customWidth="1"/>
    <col min="5" max="16384" width="9.140625" style="22"/>
  </cols>
  <sheetData>
    <row r="1" spans="1:6" s="119" customFormat="1" x14ac:dyDescent="0.25">
      <c r="A1" s="118"/>
    </row>
    <row r="2" spans="1:6" s="1" customFormat="1" ht="31.5" x14ac:dyDescent="0.5">
      <c r="B2" s="388" t="s">
        <v>120</v>
      </c>
      <c r="C2" s="388"/>
      <c r="D2" s="388"/>
      <c r="E2" s="217"/>
      <c r="F2" s="217"/>
    </row>
    <row r="3" spans="1:6" s="1" customFormat="1" ht="31.5" x14ac:dyDescent="0.5">
      <c r="B3" s="385" t="s">
        <v>2</v>
      </c>
      <c r="C3" s="386"/>
      <c r="D3" s="387"/>
      <c r="E3" s="121"/>
      <c r="F3" s="121"/>
    </row>
    <row r="4" spans="1:6" s="1" customFormat="1" ht="31.5" x14ac:dyDescent="0.5">
      <c r="B4" s="389" t="s">
        <v>121</v>
      </c>
      <c r="C4" s="390"/>
      <c r="D4" s="391"/>
    </row>
    <row r="5" spans="1:6" s="64" customFormat="1" ht="18.75" x14ac:dyDescent="0.3">
      <c r="B5" s="216"/>
      <c r="C5" s="216"/>
      <c r="D5" s="216"/>
      <c r="E5" s="216"/>
      <c r="F5" s="216"/>
    </row>
    <row r="6" spans="1:6" s="64" customFormat="1" ht="18.75" x14ac:dyDescent="0.3">
      <c r="B6" s="216"/>
      <c r="C6" s="216"/>
      <c r="D6" s="216"/>
      <c r="E6" s="216"/>
      <c r="F6" s="216"/>
    </row>
    <row r="7" spans="1:6" s="121" customFormat="1" ht="31.5" x14ac:dyDescent="0.5">
      <c r="A7" s="120"/>
      <c r="B7" s="380" t="s">
        <v>122</v>
      </c>
      <c r="C7" s="381"/>
      <c r="D7" s="382"/>
    </row>
    <row r="8" spans="1:6" s="125" customFormat="1" ht="31.5" x14ac:dyDescent="0.5">
      <c r="A8" s="122"/>
      <c r="B8" s="123"/>
      <c r="C8" s="209"/>
      <c r="D8" s="124"/>
    </row>
    <row r="9" spans="1:6" s="121" customFormat="1" ht="48" customHeight="1" x14ac:dyDescent="0.5">
      <c r="A9" s="120"/>
      <c r="B9" s="126" t="s">
        <v>123</v>
      </c>
      <c r="C9" s="210"/>
      <c r="D9" s="212"/>
    </row>
    <row r="10" spans="1:6" s="128" customFormat="1" ht="15.75" customHeight="1" x14ac:dyDescent="0.4">
      <c r="A10" s="127"/>
      <c r="B10" s="383"/>
      <c r="C10" s="384"/>
      <c r="D10" s="384"/>
    </row>
    <row r="11" spans="1:6" s="128" customFormat="1" ht="24.75" customHeight="1" x14ac:dyDescent="0.4">
      <c r="A11" s="127"/>
      <c r="B11" s="258"/>
      <c r="C11" s="259"/>
      <c r="D11" s="259"/>
    </row>
    <row r="12" spans="1:6" s="132" customFormat="1" ht="11.25" customHeight="1" x14ac:dyDescent="0.4">
      <c r="A12" s="129"/>
      <c r="B12" s="130"/>
      <c r="C12" s="211"/>
      <c r="D12" s="131"/>
    </row>
    <row r="13" spans="1:6" s="137" customFormat="1" ht="104.25" customHeight="1" x14ac:dyDescent="0.25">
      <c r="A13" s="133"/>
      <c r="B13" s="134" t="s">
        <v>124</v>
      </c>
      <c r="C13" s="135" t="s">
        <v>125</v>
      </c>
      <c r="D13" s="135" t="s">
        <v>126</v>
      </c>
      <c r="E13" s="136"/>
    </row>
    <row r="14" spans="1:6" s="125" customFormat="1" ht="31.5" x14ac:dyDescent="0.5">
      <c r="A14" s="138"/>
      <c r="B14" s="139" t="s">
        <v>127</v>
      </c>
      <c r="C14" s="140"/>
      <c r="D14" s="141"/>
    </row>
    <row r="15" spans="1:6" s="121" customFormat="1" ht="30" hidden="1" customHeight="1" x14ac:dyDescent="0.5">
      <c r="A15" s="142"/>
      <c r="B15" s="143" t="s">
        <v>128</v>
      </c>
      <c r="C15" s="144"/>
      <c r="D15" s="145"/>
      <c r="E15" s="146"/>
    </row>
    <row r="16" spans="1:6" s="125" customFormat="1" ht="30" hidden="1" customHeight="1" x14ac:dyDescent="0.5">
      <c r="A16" s="138"/>
      <c r="B16" s="147" t="s">
        <v>129</v>
      </c>
      <c r="C16" s="148"/>
      <c r="D16" s="149"/>
      <c r="E16" s="150"/>
    </row>
    <row r="17" spans="1:5" s="125" customFormat="1" ht="30" hidden="1" customHeight="1" x14ac:dyDescent="0.5">
      <c r="A17" s="138"/>
      <c r="B17" s="151" t="s">
        <v>130</v>
      </c>
      <c r="C17" s="148"/>
      <c r="D17" s="149"/>
      <c r="E17" s="150"/>
    </row>
    <row r="18" spans="1:5" s="125" customFormat="1" ht="30" hidden="1" customHeight="1" x14ac:dyDescent="0.5">
      <c r="A18" s="138"/>
      <c r="B18" s="147" t="s">
        <v>131</v>
      </c>
      <c r="C18" s="148"/>
      <c r="D18" s="149"/>
      <c r="E18" s="150"/>
    </row>
    <row r="19" spans="1:5" s="125" customFormat="1" ht="30" hidden="1" customHeight="1" x14ac:dyDescent="0.5">
      <c r="A19" s="138"/>
      <c r="B19" s="147" t="s">
        <v>132</v>
      </c>
      <c r="C19" s="148"/>
      <c r="D19" s="149"/>
      <c r="E19" s="150"/>
    </row>
    <row r="20" spans="1:5" s="125" customFormat="1" ht="30" hidden="1" customHeight="1" x14ac:dyDescent="0.5">
      <c r="A20" s="138"/>
      <c r="B20" s="147" t="s">
        <v>133</v>
      </c>
      <c r="C20" s="148"/>
      <c r="D20" s="149"/>
      <c r="E20" s="150"/>
    </row>
    <row r="21" spans="1:5" s="121" customFormat="1" ht="30" customHeight="1" x14ac:dyDescent="0.5">
      <c r="A21" s="142"/>
      <c r="B21" s="152" t="s">
        <v>134</v>
      </c>
      <c r="C21" s="153">
        <v>1042662</v>
      </c>
      <c r="D21" s="153">
        <v>42121</v>
      </c>
      <c r="E21" s="146"/>
    </row>
    <row r="22" spans="1:5" s="125" customFormat="1" ht="30" customHeight="1" x14ac:dyDescent="0.5">
      <c r="A22" s="138"/>
      <c r="B22" s="154" t="s">
        <v>135</v>
      </c>
      <c r="C22" s="153"/>
      <c r="D22" s="155"/>
      <c r="E22" s="146"/>
    </row>
    <row r="23" spans="1:5" s="121" customFormat="1" ht="30" customHeight="1" x14ac:dyDescent="0.5">
      <c r="A23" s="142"/>
      <c r="B23" s="139" t="s">
        <v>136</v>
      </c>
      <c r="C23" s="156">
        <f>SUM(C21:C22)</f>
        <v>1042662</v>
      </c>
      <c r="D23" s="156">
        <f>SUM(D21:D22)</f>
        <v>42121</v>
      </c>
      <c r="E23" s="146"/>
    </row>
    <row r="24" spans="1:5" s="162" customFormat="1" ht="15" customHeight="1" x14ac:dyDescent="0.5">
      <c r="A24" s="157"/>
      <c r="B24" s="158"/>
      <c r="C24" s="159"/>
      <c r="D24" s="160"/>
      <c r="E24" s="161"/>
    </row>
    <row r="25" spans="1:5" s="162" customFormat="1" ht="30" customHeight="1" x14ac:dyDescent="0.5">
      <c r="A25" s="157"/>
      <c r="B25" s="163" t="s">
        <v>137</v>
      </c>
      <c r="C25" s="159"/>
      <c r="D25" s="160"/>
      <c r="E25" s="161"/>
    </row>
    <row r="26" spans="1:5" s="162" customFormat="1" ht="30" customHeight="1" x14ac:dyDescent="0.5">
      <c r="A26" s="157"/>
      <c r="B26" s="164" t="s">
        <v>80</v>
      </c>
      <c r="C26" s="159"/>
      <c r="D26" s="160"/>
      <c r="E26" s="161"/>
    </row>
    <row r="27" spans="1:5" s="121" customFormat="1" ht="30" customHeight="1" x14ac:dyDescent="0.5">
      <c r="A27" s="142"/>
      <c r="B27" s="165" t="s">
        <v>138</v>
      </c>
      <c r="C27" s="144">
        <f>81875+138529</f>
        <v>220404</v>
      </c>
      <c r="D27" s="144">
        <f>SUM(D24:D26)</f>
        <v>0</v>
      </c>
      <c r="E27" s="146"/>
    </row>
    <row r="28" spans="1:5" s="125" customFormat="1" ht="30" customHeight="1" x14ac:dyDescent="0.5">
      <c r="A28" s="138"/>
      <c r="B28" s="166" t="s">
        <v>139</v>
      </c>
      <c r="C28" s="167">
        <f>C23+C27</f>
        <v>1263066</v>
      </c>
      <c r="D28" s="167">
        <f>D23+D27</f>
        <v>42121</v>
      </c>
      <c r="E28" s="146"/>
    </row>
    <row r="29" spans="1:5" s="162" customFormat="1" ht="27" hidden="1" customHeight="1" x14ac:dyDescent="0.5">
      <c r="A29" s="157"/>
      <c r="B29" s="168" t="s">
        <v>37</v>
      </c>
      <c r="C29" s="169"/>
      <c r="D29" s="170"/>
      <c r="E29" s="171"/>
    </row>
    <row r="30" spans="1:5" s="125" customFormat="1" ht="30" hidden="1" customHeight="1" x14ac:dyDescent="0.5">
      <c r="A30" s="138"/>
      <c r="B30" s="172" t="s">
        <v>140</v>
      </c>
      <c r="C30" s="159"/>
      <c r="D30" s="149"/>
    </row>
    <row r="31" spans="1:5" s="125" customFormat="1" ht="30" hidden="1" customHeight="1" x14ac:dyDescent="0.5">
      <c r="A31" s="138"/>
      <c r="B31" s="173" t="s">
        <v>141</v>
      </c>
      <c r="C31" s="159"/>
      <c r="D31" s="149"/>
    </row>
    <row r="32" spans="1:5" s="125" customFormat="1" ht="30" hidden="1" customHeight="1" x14ac:dyDescent="0.5">
      <c r="A32" s="138"/>
      <c r="B32" s="173" t="s">
        <v>48</v>
      </c>
      <c r="C32" s="159"/>
      <c r="D32" s="149"/>
    </row>
    <row r="33" spans="1:5" s="125" customFormat="1" ht="30" hidden="1" customHeight="1" x14ac:dyDescent="0.5">
      <c r="A33" s="138"/>
      <c r="B33" s="173" t="s">
        <v>142</v>
      </c>
      <c r="C33" s="159"/>
      <c r="D33" s="149"/>
    </row>
    <row r="34" spans="1:5" s="125" customFormat="1" ht="30" hidden="1" customHeight="1" x14ac:dyDescent="0.5">
      <c r="A34" s="138"/>
      <c r="B34" s="173" t="s">
        <v>143</v>
      </c>
      <c r="C34" s="159"/>
      <c r="D34" s="149"/>
    </row>
    <row r="35" spans="1:5" s="125" customFormat="1" ht="30" hidden="1" customHeight="1" x14ac:dyDescent="0.5">
      <c r="A35" s="138"/>
      <c r="B35" s="174" t="s">
        <v>144</v>
      </c>
      <c r="C35" s="159"/>
      <c r="D35" s="149"/>
    </row>
    <row r="36" spans="1:5" s="125" customFormat="1" ht="30" customHeight="1" x14ac:dyDescent="0.5">
      <c r="A36" s="138"/>
      <c r="B36" s="175" t="s">
        <v>145</v>
      </c>
      <c r="C36" s="153">
        <f>64514+877755</f>
        <v>942269</v>
      </c>
      <c r="D36" s="153">
        <v>42121</v>
      </c>
      <c r="E36" s="146"/>
    </row>
    <row r="37" spans="1:5" s="125" customFormat="1" ht="7.9" customHeight="1" x14ac:dyDescent="0.5">
      <c r="A37" s="138"/>
      <c r="B37" s="176"/>
      <c r="C37" s="177"/>
      <c r="D37" s="178"/>
    </row>
    <row r="38" spans="1:5" s="125" customFormat="1" ht="30" customHeight="1" x14ac:dyDescent="0.5">
      <c r="A38" s="138"/>
      <c r="B38" s="166" t="s">
        <v>146</v>
      </c>
      <c r="C38" s="167">
        <f>C28-C36</f>
        <v>320797</v>
      </c>
      <c r="D38" s="167">
        <f>D28-D36</f>
        <v>0</v>
      </c>
      <c r="E38" s="146"/>
    </row>
    <row r="39" spans="1:5" s="182" customFormat="1" ht="30" customHeight="1" x14ac:dyDescent="0.5">
      <c r="A39" s="179"/>
      <c r="B39" s="180"/>
      <c r="C39" s="181"/>
      <c r="D39" s="178"/>
      <c r="E39" s="146"/>
    </row>
    <row r="40" spans="1:5" s="121" customFormat="1" ht="30" customHeight="1" x14ac:dyDescent="0.5">
      <c r="A40" s="142"/>
      <c r="B40" s="183" t="s">
        <v>147</v>
      </c>
      <c r="C40" s="184">
        <v>0</v>
      </c>
      <c r="D40" s="149">
        <v>0</v>
      </c>
      <c r="E40" s="146"/>
    </row>
    <row r="41" spans="1:5" s="182" customFormat="1" ht="30" customHeight="1" x14ac:dyDescent="0.5">
      <c r="A41" s="179"/>
      <c r="B41" s="180"/>
      <c r="C41" s="181"/>
      <c r="D41" s="178"/>
      <c r="E41" s="146"/>
    </row>
    <row r="42" spans="1:5" s="125" customFormat="1" ht="30" customHeight="1" thickBot="1" x14ac:dyDescent="0.55000000000000004">
      <c r="A42" s="138"/>
      <c r="B42" s="185" t="s">
        <v>148</v>
      </c>
      <c r="C42" s="186">
        <f>C38+C40</f>
        <v>320797</v>
      </c>
      <c r="D42" s="186">
        <f>D38+D40</f>
        <v>0</v>
      </c>
      <c r="E42" s="146"/>
    </row>
    <row r="43" spans="1:5" s="125" customFormat="1" ht="30" customHeight="1" thickTop="1" x14ac:dyDescent="0.5">
      <c r="A43" s="138"/>
      <c r="B43" s="187"/>
      <c r="C43" s="188"/>
      <c r="D43" s="189"/>
      <c r="E43" s="146"/>
    </row>
    <row r="44" spans="1:5" s="125" customFormat="1" ht="30" customHeight="1" outlineLevel="1" x14ac:dyDescent="0.5">
      <c r="A44" s="138"/>
      <c r="B44" s="190" t="s">
        <v>149</v>
      </c>
      <c r="C44" s="191"/>
      <c r="D44" s="192"/>
      <c r="E44" s="146"/>
    </row>
    <row r="45" spans="1:5" s="121" customFormat="1" ht="30" customHeight="1" outlineLevel="1" x14ac:dyDescent="0.5">
      <c r="A45" s="142"/>
      <c r="B45" s="193" t="s">
        <v>150</v>
      </c>
      <c r="C45" s="194">
        <f t="shared" ref="C45" si="0">C38/C28</f>
        <v>0.25398276891310512</v>
      </c>
      <c r="D45" s="195">
        <f t="shared" ref="D45" si="1">D38/D28</f>
        <v>0</v>
      </c>
      <c r="E45" s="146"/>
    </row>
    <row r="46" spans="1:5" s="200" customFormat="1" ht="30" customHeight="1" outlineLevel="1" thickBot="1" x14ac:dyDescent="0.55000000000000004">
      <c r="A46" s="196"/>
      <c r="B46" s="197" t="s">
        <v>151</v>
      </c>
      <c r="C46" s="198">
        <f t="shared" ref="C46" si="2">C42/(C28+C40)</f>
        <v>0.25398276891310512</v>
      </c>
      <c r="D46" s="199">
        <f t="shared" ref="D46" si="3">D42/(D28+D40)</f>
        <v>0</v>
      </c>
    </row>
    <row r="47" spans="1:5" s="125" customFormat="1" ht="30" customHeight="1" x14ac:dyDescent="0.5">
      <c r="A47" s="122"/>
      <c r="B47" s="201"/>
      <c r="C47" s="201"/>
    </row>
    <row r="48" spans="1:5" s="125" customFormat="1" ht="30" customHeight="1" x14ac:dyDescent="0.5">
      <c r="A48" s="122"/>
      <c r="B48" s="201"/>
      <c r="C48" s="201"/>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2" customFormat="1" ht="30" customHeight="1" x14ac:dyDescent="0.25">
      <c r="B54" s="203"/>
      <c r="C54" s="203"/>
      <c r="D54" s="22"/>
      <c r="E54" s="22"/>
    </row>
    <row r="55" spans="2:5" s="202" customFormat="1" ht="30" customHeight="1" x14ac:dyDescent="0.25">
      <c r="B55" s="203"/>
      <c r="C55" s="203"/>
      <c r="D55" s="22"/>
      <c r="E55" s="22"/>
    </row>
    <row r="56" spans="2:5" s="202" customFormat="1" ht="30" customHeight="1" x14ac:dyDescent="0.25">
      <c r="B56" s="203"/>
      <c r="C56" s="203"/>
      <c r="D56" s="22"/>
      <c r="E56" s="22"/>
    </row>
    <row r="57" spans="2:5" s="202" customFormat="1" ht="30" customHeight="1" x14ac:dyDescent="0.25">
      <c r="B57" s="203"/>
      <c r="C57" s="203"/>
      <c r="D57" s="22"/>
      <c r="E57" s="22"/>
    </row>
    <row r="58" spans="2:5" s="202" customFormat="1" ht="30" customHeight="1" x14ac:dyDescent="0.25">
      <c r="B58" s="203"/>
      <c r="C58" s="203"/>
      <c r="D58" s="22"/>
      <c r="E58" s="22"/>
    </row>
    <row r="59" spans="2:5" s="202" customFormat="1" ht="30" customHeight="1" x14ac:dyDescent="0.25">
      <c r="B59" s="203"/>
      <c r="C59" s="203"/>
      <c r="D59" s="22"/>
      <c r="E59" s="22"/>
    </row>
    <row r="60" spans="2:5" s="202" customFormat="1" ht="30" customHeight="1" x14ac:dyDescent="0.25">
      <c r="B60" s="203"/>
      <c r="C60" s="203"/>
      <c r="D60" s="22"/>
      <c r="E60" s="22"/>
    </row>
    <row r="61" spans="2:5" s="202" customFormat="1" ht="30" customHeight="1" x14ac:dyDescent="0.25">
      <c r="B61" s="203"/>
      <c r="C61" s="203"/>
      <c r="D61" s="22"/>
      <c r="E61" s="22"/>
    </row>
    <row r="62" spans="2:5" s="202" customFormat="1" ht="30" customHeight="1" x14ac:dyDescent="0.25">
      <c r="B62" s="203"/>
      <c r="C62" s="203"/>
      <c r="D62" s="22"/>
      <c r="E62" s="22"/>
    </row>
    <row r="63" spans="2:5" s="202" customFormat="1" ht="30" customHeight="1" x14ac:dyDescent="0.25">
      <c r="B63" s="203"/>
      <c r="C63" s="203"/>
      <c r="D63" s="22"/>
      <c r="E63" s="22"/>
    </row>
    <row r="64" spans="2:5" s="202" customFormat="1" ht="30" customHeight="1" x14ac:dyDescent="0.25">
      <c r="B64" s="203"/>
      <c r="C64" s="203"/>
      <c r="D64" s="22"/>
      <c r="E64" s="22"/>
    </row>
    <row r="65" spans="1:5" s="202" customFormat="1" ht="30" customHeight="1" x14ac:dyDescent="0.25">
      <c r="B65" s="203"/>
      <c r="C65" s="203"/>
      <c r="D65" s="22"/>
      <c r="E65" s="22"/>
    </row>
    <row r="66" spans="1:5" s="202" customFormat="1" ht="30" customHeight="1" x14ac:dyDescent="0.25">
      <c r="B66" s="203"/>
      <c r="C66" s="203"/>
      <c r="D66" s="22"/>
      <c r="E66" s="22"/>
    </row>
    <row r="67" spans="1:5" s="202" customFormat="1" ht="30" customHeight="1" x14ac:dyDescent="0.25">
      <c r="B67" s="203"/>
      <c r="C67" s="203"/>
      <c r="D67" s="22"/>
      <c r="E67" s="22"/>
    </row>
    <row r="68" spans="1:5" s="202" customFormat="1" ht="30" customHeight="1" x14ac:dyDescent="0.25">
      <c r="B68" s="203"/>
      <c r="C68" s="203"/>
      <c r="D68" s="22"/>
      <c r="E68" s="22"/>
    </row>
    <row r="69" spans="1:5" s="202" customFormat="1" ht="30" customHeight="1" x14ac:dyDescent="0.25">
      <c r="B69" s="203"/>
      <c r="C69" s="203"/>
      <c r="D69" s="22"/>
      <c r="E69" s="22"/>
    </row>
    <row r="70" spans="1:5" ht="30" customHeight="1" x14ac:dyDescent="0.25"/>
    <row r="71" spans="1:5" ht="30" customHeight="1" x14ac:dyDescent="0.25"/>
    <row r="72" spans="1:5" ht="30" customHeight="1" x14ac:dyDescent="0.25"/>
    <row r="73" spans="1:5" ht="30" customHeight="1" x14ac:dyDescent="0.25"/>
    <row r="79" spans="1:5" s="207" customFormat="1" x14ac:dyDescent="0.25">
      <c r="A79" s="204"/>
      <c r="B79" s="205" t="s">
        <v>152</v>
      </c>
      <c r="C79" s="205"/>
      <c r="D79" s="206"/>
    </row>
    <row r="80" spans="1:5" x14ac:dyDescent="0.25">
      <c r="B80" s="208"/>
      <c r="C80" s="208"/>
      <c r="D80" s="207"/>
    </row>
  </sheetData>
  <customSheetViews>
    <customSheetView guid="{44973865-8AD1-45FA-8A45-05D76FF96A5F}" scale="50" showPageBreaks="1" showGridLines="0" fitToPage="1" printArea="1" hiddenRows="1">
      <selection activeCell="B2" sqref="B2:D48"/>
      <pageMargins left="0.45" right="0.45" top="0.25" bottom="0.5" header="0.3" footer="0.3"/>
      <pageSetup scale="55" orientation="landscape" r:id="rId1"/>
      <headerFooter>
        <oddFooter>&amp;L&amp;16&amp;D, Page &amp;P&amp;C&amp;16Green Mountain Care Board&amp;R&amp;16&amp;F, &amp;A</oddFooter>
      </headerFooter>
    </customSheetView>
    <customSheetView guid="{7A66AF9E-81E8-451B-9A4F-DFE08BFB5947}" scale="50" showPageBreaks="1" showGridLines="0" fitToPage="1" printArea="1" hiddenRows="1">
      <selection activeCell="B2" sqref="B2:D48"/>
      <pageMargins left="0.45" right="0.45" top="0.25" bottom="0.5" header="0.3" footer="0.3"/>
      <pageSetup scale="55" orientation="landscape" r:id="rId2"/>
      <headerFooter>
        <oddFooter>&amp;L&amp;16&amp;D, Page &amp;P&amp;C&amp;16Green Mountain Care Board&amp;R&amp;16&amp;F, &amp;A</oddFooter>
      </headerFooter>
    </customSheetView>
    <customSheetView guid="{670863B2-8243-412A-8B8D-30885F188694}" scale="50" showGridLines="0" fitToPage="1" hiddenRows="1">
      <selection activeCell="B2" sqref="B2:D48"/>
      <pageMargins left="0.45" right="0.45" top="0.25" bottom="0.5" header="0.3" footer="0.3"/>
      <pageSetup scale="55" orientation="landscape" r:id="rId3"/>
      <headerFooter>
        <oddFooter>&amp;L&amp;16&amp;D, Page &amp;P&amp;C&amp;16Green Mountain Care Board&amp;R&amp;16&amp;F, &amp;A</oddFooter>
      </headerFooter>
    </customSheetView>
    <customSheetView guid="{7E96D643-834B-40CD-8E58-19C1F2E2A6F1}" scale="50" showGridLines="0" fitToPage="1" hiddenRows="1">
      <selection activeCell="B2" sqref="B2:D48"/>
      <pageMargins left="0.45" right="0.45" top="0.25" bottom="0.5" header="0.3" footer="0.3"/>
      <pageSetup scale="55" orientation="landscape" r:id="rId4"/>
      <headerFooter>
        <oddFooter>&amp;L&amp;16&amp;D, Page &amp;P&amp;C&amp;16Green Mountain Care Board&amp;R&amp;16&amp;F, &amp;A</oddFooter>
      </headerFooter>
    </customSheetView>
    <customSheetView guid="{370A90FE-A320-447B-8995-A714325CBEA5}" scale="50" showPageBreaks="1" showGridLines="0" fitToPage="1" printArea="1" hiddenRows="1">
      <selection activeCell="D45" sqref="D45"/>
      <pageMargins left="0.45" right="0.45" top="0.25" bottom="0.5" header="0.3" footer="0.3"/>
      <pageSetup scale="55" orientation="landscape" r:id="rId5"/>
      <headerFooter>
        <oddFooter>&amp;L&amp;16&amp;D, Page &amp;P&amp;C&amp;16Green Mountain Care Board&amp;R&amp;16&amp;F, &amp;A</oddFooter>
      </headerFooter>
    </customSheetView>
  </customSheetViews>
  <mergeCells count="5">
    <mergeCell ref="B7:D7"/>
    <mergeCell ref="B10:D10"/>
    <mergeCell ref="B3:D3"/>
    <mergeCell ref="B2:D2"/>
    <mergeCell ref="B4:D4"/>
  </mergeCells>
  <pageMargins left="0.45" right="0.45" top="0.25" bottom="0.5" header="0.3" footer="0.3"/>
  <pageSetup scale="55" orientation="landscape" r:id="rId6"/>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pageSetUpPr fitToPage="1"/>
  </sheetPr>
  <dimension ref="B1:F17"/>
  <sheetViews>
    <sheetView showGridLines="0" workbookViewId="0">
      <selection activeCell="B2" sqref="B2:F16"/>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13" customFormat="1" x14ac:dyDescent="0.25">
      <c r="B1" s="114"/>
      <c r="C1" s="114"/>
      <c r="D1" s="114"/>
      <c r="E1" s="114"/>
      <c r="F1" s="114"/>
    </row>
    <row r="2" spans="2:6" ht="15.75" x14ac:dyDescent="0.25">
      <c r="B2" s="393" t="s">
        <v>153</v>
      </c>
      <c r="C2" s="393"/>
      <c r="D2" s="393"/>
      <c r="E2" s="393"/>
      <c r="F2" s="393"/>
    </row>
    <row r="3" spans="2:6" ht="18.75" x14ac:dyDescent="0.3">
      <c r="B3" s="394" t="s">
        <v>2</v>
      </c>
      <c r="C3" s="395"/>
      <c r="D3" s="395"/>
      <c r="E3" s="395"/>
      <c r="F3" s="396"/>
    </row>
    <row r="4" spans="2:6" ht="18.75" x14ac:dyDescent="0.3">
      <c r="B4" s="367" t="s">
        <v>154</v>
      </c>
      <c r="C4" s="368"/>
      <c r="D4" s="368"/>
      <c r="E4" s="368"/>
      <c r="F4" s="369"/>
    </row>
    <row r="5" spans="2:6" ht="15.75" x14ac:dyDescent="0.25">
      <c r="B5" s="31"/>
      <c r="C5" s="31"/>
      <c r="D5" s="31"/>
      <c r="E5" s="31"/>
      <c r="F5" s="31"/>
    </row>
    <row r="6" spans="2:6" ht="28.5" customHeight="1" x14ac:dyDescent="0.25">
      <c r="B6" s="392" t="s">
        <v>155</v>
      </c>
      <c r="C6" s="392"/>
      <c r="D6" s="392"/>
      <c r="E6" s="392"/>
      <c r="F6" s="392"/>
    </row>
    <row r="7" spans="2:6" ht="15.75" x14ac:dyDescent="0.25">
      <c r="B7" s="31"/>
      <c r="C7" s="31"/>
      <c r="D7" s="31"/>
      <c r="E7" s="31"/>
      <c r="F7" s="31"/>
    </row>
    <row r="8" spans="2:6" ht="48" customHeight="1" x14ac:dyDescent="0.25">
      <c r="B8" s="32" t="s">
        <v>156</v>
      </c>
      <c r="C8" s="33" t="s">
        <v>157</v>
      </c>
      <c r="D8" s="33" t="s">
        <v>158</v>
      </c>
      <c r="E8" s="33" t="s">
        <v>159</v>
      </c>
      <c r="F8" s="34" t="s">
        <v>160</v>
      </c>
    </row>
    <row r="9" spans="2:6" ht="25.5" customHeight="1" x14ac:dyDescent="0.25">
      <c r="B9" s="35"/>
      <c r="C9" s="36" t="s">
        <v>161</v>
      </c>
      <c r="D9" s="36" t="s">
        <v>162</v>
      </c>
      <c r="E9" s="36" t="s">
        <v>162</v>
      </c>
      <c r="F9" s="37" t="s">
        <v>163</v>
      </c>
    </row>
    <row r="10" spans="2:6" ht="48.75" customHeight="1" x14ac:dyDescent="0.25">
      <c r="B10" s="38" t="s">
        <v>164</v>
      </c>
      <c r="C10" s="39" t="s">
        <v>264</v>
      </c>
      <c r="D10" s="290" t="s">
        <v>268</v>
      </c>
      <c r="E10" s="290" t="s">
        <v>270</v>
      </c>
      <c r="F10" s="40" t="s">
        <v>267</v>
      </c>
    </row>
    <row r="11" spans="2:6" ht="15.75" x14ac:dyDescent="0.25">
      <c r="B11" s="38" t="s">
        <v>165</v>
      </c>
      <c r="C11" s="39" t="s">
        <v>266</v>
      </c>
      <c r="D11" s="289"/>
      <c r="E11" s="39"/>
      <c r="F11" s="40"/>
    </row>
    <row r="12" spans="2:6" ht="31.5" x14ac:dyDescent="0.25">
      <c r="B12" s="38" t="s">
        <v>237</v>
      </c>
      <c r="C12" s="288" t="s">
        <v>265</v>
      </c>
      <c r="D12" s="289" t="s">
        <v>269</v>
      </c>
      <c r="E12" s="39">
        <v>0</v>
      </c>
      <c r="F12" s="40" t="s">
        <v>267</v>
      </c>
    </row>
    <row r="13" spans="2:6" ht="15.75" x14ac:dyDescent="0.25">
      <c r="B13" s="38" t="s">
        <v>166</v>
      </c>
      <c r="C13" s="39" t="s">
        <v>266</v>
      </c>
      <c r="D13" s="39"/>
      <c r="E13" s="39"/>
      <c r="F13" s="40"/>
    </row>
    <row r="14" spans="2:6" ht="15.75" x14ac:dyDescent="0.25">
      <c r="B14" s="38" t="s">
        <v>167</v>
      </c>
      <c r="C14" s="41"/>
      <c r="D14" s="39"/>
      <c r="E14" s="39"/>
      <c r="F14" s="40"/>
    </row>
    <row r="15" spans="2:6" ht="15.75" x14ac:dyDescent="0.25">
      <c r="B15" s="31"/>
    </row>
    <row r="16" spans="2:6" ht="15.75" x14ac:dyDescent="0.25">
      <c r="B16" s="43"/>
      <c r="E16" s="44"/>
    </row>
    <row r="17" spans="2:2" x14ac:dyDescent="0.25">
      <c r="B17" s="287"/>
    </row>
  </sheetData>
  <customSheetViews>
    <customSheetView guid="{44973865-8AD1-45FA-8A45-05D76FF96A5F}" showPageBreaks="1" showGridLines="0" fitToPage="1" printArea="1">
      <selection activeCell="B2" sqref="B2:F16"/>
      <pageMargins left="0.7" right="0.7" top="0.75" bottom="0.75" header="0.3" footer="0.3"/>
      <pageSetup orientation="landscape" r:id="rId1"/>
      <headerFooter>
        <oddFooter>&amp;L&amp;D&amp;R&amp;F,&amp;A</oddFooter>
      </headerFooter>
    </customSheetView>
    <customSheetView guid="{7A66AF9E-81E8-451B-9A4F-DFE08BFB5947}" showPageBreaks="1" showGridLines="0" fitToPage="1" printArea="1">
      <selection activeCell="B2" sqref="B2:F16"/>
      <pageMargins left="0.7" right="0.7" top="0.75" bottom="0.75" header="0.3" footer="0.3"/>
      <pageSetup orientation="landscape" r:id="rId2"/>
      <headerFooter>
        <oddFooter>&amp;L&amp;D&amp;R&amp;F,&amp;A</oddFooter>
      </headerFooter>
    </customSheetView>
    <customSheetView guid="{670863B2-8243-412A-8B8D-30885F188694}" showGridLines="0" fitToPage="1">
      <selection activeCell="B2" sqref="B2:F16"/>
      <pageMargins left="0.7" right="0.7" top="0.75" bottom="0.75" header="0.3" footer="0.3"/>
      <pageSetup orientation="landscape" r:id="rId3"/>
      <headerFooter>
        <oddFooter>&amp;L&amp;D&amp;R&amp;F,&amp;A</oddFooter>
      </headerFooter>
    </customSheetView>
    <customSheetView guid="{7E96D643-834B-40CD-8E58-19C1F2E2A6F1}" showGridLines="0" fitToPage="1">
      <selection activeCell="B2" sqref="B2:F16"/>
      <pageMargins left="0.7" right="0.7" top="0.75" bottom="0.75" header="0.3" footer="0.3"/>
      <pageSetup orientation="landscape" r:id="rId4"/>
      <headerFooter>
        <oddFooter>&amp;L&amp;D&amp;R&amp;F,&amp;A</oddFooter>
      </headerFooter>
    </customSheetView>
    <customSheetView guid="{370A90FE-A320-447B-8995-A714325CBEA5}" showPageBreaks="1" showGridLines="0" printArea="1">
      <selection activeCell="B13" sqref="B13"/>
      <pageMargins left="0.7" right="0.7" top="0.75" bottom="0.75" header="0.3" footer="0.3"/>
      <pageSetup orientation="landscape" r:id="rId5"/>
      <headerFooter>
        <oddFooter>&amp;L&amp;D&amp;R&amp;F,&amp;A</oddFooter>
      </headerFooter>
    </customSheetView>
  </customSheetViews>
  <mergeCells count="4">
    <mergeCell ref="B6:F6"/>
    <mergeCell ref="B2:F2"/>
    <mergeCell ref="B3:F3"/>
    <mergeCell ref="B4:F4"/>
  </mergeCells>
  <pageMargins left="0.7" right="0.7" top="0.75" bottom="0.75" header="0.3" footer="0.3"/>
  <pageSetup orientation="landscape" r:id="rId6"/>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zoomScale="94" zoomScaleNormal="100" zoomScaleSheetLayoutView="55" workbookViewId="0">
      <selection activeCell="B2" sqref="B2:K27"/>
    </sheetView>
  </sheetViews>
  <sheetFormatPr defaultColWidth="9.140625" defaultRowHeight="15" customHeight="1" x14ac:dyDescent="0.25"/>
  <cols>
    <col min="1" max="1" width="3.5703125" style="111" customWidth="1"/>
    <col min="2" max="2" width="39.7109375" style="111" customWidth="1"/>
    <col min="3" max="3" width="24" style="111" customWidth="1"/>
    <col min="4" max="11" width="22.7109375" style="111" customWidth="1"/>
    <col min="12" max="16384" width="9.140625" style="111"/>
  </cols>
  <sheetData>
    <row r="2" spans="2:11" s="1" customFormat="1" ht="15.75" x14ac:dyDescent="0.25">
      <c r="B2" s="393" t="s">
        <v>168</v>
      </c>
      <c r="C2" s="393"/>
      <c r="D2" s="393"/>
      <c r="E2" s="393"/>
      <c r="F2" s="393"/>
      <c r="G2" s="393"/>
      <c r="H2" s="393"/>
      <c r="I2" s="393"/>
      <c r="J2" s="393"/>
      <c r="K2" s="393"/>
    </row>
    <row r="3" spans="2:11" s="1" customFormat="1" ht="18.75" x14ac:dyDescent="0.3">
      <c r="B3" s="394" t="s">
        <v>169</v>
      </c>
      <c r="C3" s="395"/>
      <c r="D3" s="395"/>
      <c r="E3" s="395"/>
      <c r="F3" s="395"/>
      <c r="G3" s="395"/>
      <c r="H3" s="395"/>
      <c r="I3" s="395"/>
      <c r="J3" s="395"/>
      <c r="K3" s="396"/>
    </row>
    <row r="4" spans="2:11" s="1" customFormat="1" ht="18.75" x14ac:dyDescent="0.3">
      <c r="B4" s="367" t="s">
        <v>170</v>
      </c>
      <c r="C4" s="368"/>
      <c r="D4" s="368"/>
      <c r="E4" s="368"/>
      <c r="F4" s="368"/>
      <c r="G4" s="368"/>
      <c r="H4" s="368"/>
      <c r="I4" s="368"/>
      <c r="J4" s="368"/>
      <c r="K4" s="369"/>
    </row>
    <row r="5" spans="2:11" s="113" customFormat="1" ht="18.75" x14ac:dyDescent="0.3">
      <c r="B5" s="256"/>
      <c r="C5" s="256"/>
      <c r="D5" s="256"/>
      <c r="E5" s="256"/>
      <c r="F5" s="256"/>
      <c r="G5" s="256"/>
      <c r="H5" s="256"/>
      <c r="I5" s="256"/>
      <c r="J5" s="256"/>
      <c r="K5" s="256"/>
    </row>
    <row r="6" spans="2:11" s="113" customFormat="1" ht="18.75" customHeight="1" x14ac:dyDescent="0.25">
      <c r="B6" s="399" t="s">
        <v>244</v>
      </c>
      <c r="C6" s="399"/>
      <c r="D6" s="399"/>
      <c r="E6" s="399"/>
      <c r="F6" s="399"/>
      <c r="G6" s="399"/>
      <c r="H6" s="399"/>
      <c r="I6" s="399"/>
      <c r="J6" s="399"/>
      <c r="K6" s="399"/>
    </row>
    <row r="7" spans="2:11" s="113" customFormat="1" ht="18.75" customHeight="1" x14ac:dyDescent="0.25">
      <c r="B7" s="399"/>
      <c r="C7" s="399"/>
      <c r="D7" s="399"/>
      <c r="E7" s="399"/>
      <c r="F7" s="399"/>
      <c r="G7" s="399"/>
      <c r="H7" s="399"/>
      <c r="I7" s="399"/>
      <c r="J7" s="399"/>
      <c r="K7" s="399"/>
    </row>
    <row r="8" spans="2:11" s="113" customFormat="1" ht="18.75" x14ac:dyDescent="0.3">
      <c r="B8" s="112"/>
      <c r="C8" s="112"/>
      <c r="D8" s="112"/>
      <c r="E8" s="112"/>
      <c r="F8" s="112"/>
      <c r="G8" s="112"/>
      <c r="H8" s="112"/>
    </row>
    <row r="9" spans="2:11" s="260" customFormat="1" x14ac:dyDescent="0.25">
      <c r="B9" s="261"/>
      <c r="D9" s="261"/>
      <c r="E9" s="261"/>
      <c r="F9" s="261"/>
      <c r="G9" s="261"/>
      <c r="H9" s="261"/>
      <c r="I9" s="262"/>
      <c r="J9" s="262"/>
      <c r="K9" s="262"/>
    </row>
    <row r="10" spans="2:11" s="255" customFormat="1" ht="15" customHeight="1" x14ac:dyDescent="0.25">
      <c r="B10" s="397" t="s">
        <v>171</v>
      </c>
      <c r="C10" s="274" t="s">
        <v>172</v>
      </c>
      <c r="D10" s="268" t="s">
        <v>172</v>
      </c>
      <c r="E10" s="269" t="s">
        <v>173</v>
      </c>
      <c r="F10" s="270" t="s">
        <v>174</v>
      </c>
      <c r="G10" s="268" t="s">
        <v>172</v>
      </c>
      <c r="H10" s="269" t="s">
        <v>173</v>
      </c>
      <c r="I10" s="270" t="s">
        <v>174</v>
      </c>
      <c r="J10" s="269" t="s">
        <v>173</v>
      </c>
      <c r="K10" s="270" t="s">
        <v>174</v>
      </c>
    </row>
    <row r="11" spans="2:11" s="255" customFormat="1" ht="15" customHeight="1" x14ac:dyDescent="0.25">
      <c r="B11" s="398"/>
      <c r="C11" s="273" t="s">
        <v>215</v>
      </c>
      <c r="D11" s="400" t="s">
        <v>175</v>
      </c>
      <c r="E11" s="401"/>
      <c r="F11" s="402"/>
      <c r="G11" s="400" t="s">
        <v>176</v>
      </c>
      <c r="H11" s="401"/>
      <c r="I11" s="402"/>
      <c r="J11" s="401" t="s">
        <v>177</v>
      </c>
      <c r="K11" s="402"/>
    </row>
    <row r="12" spans="2:11" ht="15" customHeight="1" x14ac:dyDescent="0.25">
      <c r="B12" s="263" t="s">
        <v>178</v>
      </c>
      <c r="C12" s="271">
        <f>+D12+G12</f>
        <v>6594700</v>
      </c>
      <c r="D12" s="291">
        <v>6594700</v>
      </c>
      <c r="E12" s="292">
        <v>4426994</v>
      </c>
      <c r="F12" s="293">
        <v>2167705</v>
      </c>
      <c r="G12" s="291">
        <v>0</v>
      </c>
      <c r="H12" s="292">
        <v>710838</v>
      </c>
      <c r="I12" s="293">
        <v>1456867</v>
      </c>
      <c r="J12" s="292"/>
      <c r="K12" s="293">
        <v>1456867</v>
      </c>
    </row>
    <row r="13" spans="2:11" ht="15" customHeight="1" x14ac:dyDescent="0.25">
      <c r="B13" s="263" t="s">
        <v>179</v>
      </c>
      <c r="C13" s="271">
        <f>+D13+G13</f>
        <v>10084125.969999999</v>
      </c>
      <c r="D13" s="291">
        <v>9612701.6099999994</v>
      </c>
      <c r="E13" s="292">
        <v>0</v>
      </c>
      <c r="F13" s="293">
        <v>9612701.6099999994</v>
      </c>
      <c r="G13" s="291">
        <v>471424.36</v>
      </c>
      <c r="H13" s="292">
        <v>0</v>
      </c>
      <c r="I13" s="293">
        <v>10052026</v>
      </c>
      <c r="J13" s="292"/>
      <c r="K13" s="293">
        <v>4131497</v>
      </c>
    </row>
    <row r="14" spans="2:11" ht="15" customHeight="1" x14ac:dyDescent="0.25">
      <c r="B14" s="263" t="s">
        <v>180</v>
      </c>
      <c r="C14" s="271">
        <f t="shared" ref="C14:C22" si="0">+D14+G14</f>
        <v>1090833</v>
      </c>
      <c r="D14" s="291">
        <v>1090833</v>
      </c>
      <c r="E14" s="292">
        <v>0</v>
      </c>
      <c r="F14" s="293">
        <v>1090833</v>
      </c>
      <c r="G14" s="291">
        <v>0</v>
      </c>
      <c r="H14" s="292">
        <v>0</v>
      </c>
      <c r="I14" s="293">
        <v>0</v>
      </c>
      <c r="J14" s="292">
        <v>0</v>
      </c>
      <c r="K14" s="293">
        <v>0</v>
      </c>
    </row>
    <row r="15" spans="2:11" ht="15" customHeight="1" x14ac:dyDescent="0.25">
      <c r="B15" s="263" t="s">
        <v>181</v>
      </c>
      <c r="C15" s="271">
        <f t="shared" si="0"/>
        <v>0</v>
      </c>
      <c r="D15" s="291"/>
      <c r="E15" s="292"/>
      <c r="F15" s="293"/>
      <c r="G15" s="291"/>
      <c r="H15" s="292"/>
      <c r="I15" s="293"/>
      <c r="J15" s="292"/>
      <c r="K15" s="293"/>
    </row>
    <row r="16" spans="2:11" ht="15" customHeight="1" x14ac:dyDescent="0.25">
      <c r="B16" s="263" t="s">
        <v>182</v>
      </c>
      <c r="C16" s="271">
        <f t="shared" si="0"/>
        <v>216647</v>
      </c>
      <c r="D16" s="291">
        <v>216647</v>
      </c>
      <c r="E16" s="292">
        <v>194721</v>
      </c>
      <c r="F16" s="293">
        <v>21926</v>
      </c>
      <c r="G16" s="291">
        <v>0</v>
      </c>
      <c r="H16" s="292">
        <v>0</v>
      </c>
      <c r="I16" s="293">
        <v>21926</v>
      </c>
      <c r="J16" s="292">
        <v>0</v>
      </c>
      <c r="K16" s="293">
        <v>21926</v>
      </c>
    </row>
    <row r="17" spans="2:11" ht="15" customHeight="1" x14ac:dyDescent="0.25">
      <c r="B17" s="263" t="s">
        <v>183</v>
      </c>
      <c r="C17" s="271">
        <f t="shared" si="0"/>
        <v>242000</v>
      </c>
      <c r="D17" s="291">
        <v>242000</v>
      </c>
      <c r="E17" s="292">
        <v>242000</v>
      </c>
      <c r="F17" s="293">
        <v>0</v>
      </c>
      <c r="G17" s="291">
        <v>0</v>
      </c>
      <c r="H17" s="292">
        <v>0</v>
      </c>
      <c r="I17" s="293">
        <v>0</v>
      </c>
      <c r="J17" s="292">
        <v>0</v>
      </c>
      <c r="K17" s="293">
        <v>0</v>
      </c>
    </row>
    <row r="18" spans="2:11" ht="15" customHeight="1" x14ac:dyDescent="0.25">
      <c r="B18" s="263" t="s">
        <v>184</v>
      </c>
      <c r="C18" s="299">
        <f t="shared" si="0"/>
        <v>366332</v>
      </c>
      <c r="D18" s="300">
        <v>335160</v>
      </c>
      <c r="E18" s="301">
        <v>335160</v>
      </c>
      <c r="F18" s="302">
        <v>0</v>
      </c>
      <c r="G18" s="300">
        <v>31172</v>
      </c>
      <c r="H18" s="301">
        <v>31172</v>
      </c>
      <c r="I18" s="302">
        <v>0</v>
      </c>
      <c r="J18" s="301">
        <v>0</v>
      </c>
      <c r="K18" s="302">
        <v>0</v>
      </c>
    </row>
    <row r="19" spans="2:11" ht="15" customHeight="1" x14ac:dyDescent="0.25">
      <c r="B19" s="263" t="s">
        <v>185</v>
      </c>
      <c r="C19" s="271">
        <f t="shared" si="0"/>
        <v>0</v>
      </c>
      <c r="D19" s="291"/>
      <c r="E19" s="292"/>
      <c r="F19" s="293"/>
      <c r="G19" s="291"/>
      <c r="H19" s="292"/>
      <c r="I19" s="293"/>
      <c r="J19" s="292"/>
      <c r="K19" s="293"/>
    </row>
    <row r="20" spans="2:11" ht="15" customHeight="1" x14ac:dyDescent="0.25">
      <c r="B20" s="263" t="s">
        <v>216</v>
      </c>
      <c r="C20" s="271">
        <f t="shared" si="0"/>
        <v>0</v>
      </c>
      <c r="D20" s="291"/>
      <c r="E20" s="292"/>
      <c r="F20" s="293"/>
      <c r="G20" s="291"/>
      <c r="H20" s="292"/>
      <c r="I20" s="293"/>
      <c r="J20" s="292"/>
      <c r="K20" s="293"/>
    </row>
    <row r="21" spans="2:11" ht="15" customHeight="1" x14ac:dyDescent="0.25">
      <c r="B21" s="296" t="s">
        <v>271</v>
      </c>
      <c r="C21" s="271">
        <f t="shared" si="0"/>
        <v>18442</v>
      </c>
      <c r="D21" s="291">
        <v>18442</v>
      </c>
      <c r="E21" s="292">
        <v>0</v>
      </c>
      <c r="F21" s="293">
        <v>18442</v>
      </c>
      <c r="G21" s="291">
        <v>0</v>
      </c>
      <c r="H21" s="292">
        <v>18442</v>
      </c>
      <c r="I21" s="293">
        <v>0</v>
      </c>
      <c r="J21" s="292"/>
      <c r="K21" s="293"/>
    </row>
    <row r="22" spans="2:11" ht="15" customHeight="1" x14ac:dyDescent="0.25">
      <c r="B22" s="297" t="s">
        <v>272</v>
      </c>
      <c r="C22" s="271">
        <f t="shared" si="0"/>
        <v>197846</v>
      </c>
      <c r="D22" s="294">
        <v>197846</v>
      </c>
      <c r="E22" s="294">
        <v>0</v>
      </c>
      <c r="F22" s="295">
        <v>197846</v>
      </c>
      <c r="G22" s="294">
        <v>0</v>
      </c>
      <c r="H22" s="294">
        <v>197846</v>
      </c>
      <c r="I22" s="295">
        <v>0</v>
      </c>
      <c r="J22" s="294">
        <v>0</v>
      </c>
      <c r="K22" s="295">
        <v>0</v>
      </c>
    </row>
    <row r="23" spans="2:11" ht="15" customHeight="1" thickBot="1" x14ac:dyDescent="0.3">
      <c r="B23" s="264" t="s">
        <v>186</v>
      </c>
      <c r="C23" s="265">
        <f>SUM(C12:C22)</f>
        <v>18810925.969999999</v>
      </c>
      <c r="D23" s="272">
        <f t="shared" ref="D23:F23" si="1">SUM(D12:D22)</f>
        <v>18308329.609999999</v>
      </c>
      <c r="E23" s="266">
        <f t="shared" si="1"/>
        <v>5198875</v>
      </c>
      <c r="F23" s="267">
        <f t="shared" si="1"/>
        <v>13109453.609999999</v>
      </c>
      <c r="G23" s="272">
        <f t="shared" ref="G23" si="2">SUM(G12:G22)</f>
        <v>502596.36</v>
      </c>
      <c r="H23" s="266">
        <f t="shared" ref="H23" si="3">SUM(H12:H22)</f>
        <v>958298</v>
      </c>
      <c r="I23" s="267">
        <f>SUM(I12:I22)</f>
        <v>11530819</v>
      </c>
      <c r="J23" s="266">
        <f t="shared" ref="J23" si="4">SUM(J12:J22)</f>
        <v>0</v>
      </c>
      <c r="K23" s="267">
        <f t="shared" ref="K23" si="5">SUM(K12:K22)</f>
        <v>5610290</v>
      </c>
    </row>
    <row r="24" spans="2:11" ht="15" customHeight="1" thickTop="1" x14ac:dyDescent="0.25"/>
  </sheetData>
  <customSheetViews>
    <customSheetView guid="{44973865-8AD1-45FA-8A45-05D76FF96A5F}" scale="94" showGridLines="0" fitToPage="1">
      <selection activeCell="B2" sqref="B2:K27"/>
      <pageMargins left="0.7" right="0.7" top="0.75" bottom="0.75" header="0.3" footer="0.3"/>
      <pageSetup scale="49" fitToHeight="0" orientation="landscape" r:id="rId1"/>
    </customSheetView>
    <customSheetView guid="{7A66AF9E-81E8-451B-9A4F-DFE08BFB5947}" scale="94" showPageBreaks="1" showGridLines="0" fitToPage="1">
      <selection activeCell="B2" sqref="B2:K27"/>
      <pageMargins left="0.7" right="0.7" top="0.75" bottom="0.75" header="0.3" footer="0.3"/>
      <pageSetup scale="49" fitToHeight="0" orientation="landscape" r:id="rId2"/>
    </customSheetView>
    <customSheetView guid="{670863B2-8243-412A-8B8D-30885F188694}" scale="94" showGridLines="0" fitToPage="1">
      <selection activeCell="B2" sqref="B2:K27"/>
      <pageMargins left="0.7" right="0.7" top="0.75" bottom="0.75" header="0.3" footer="0.3"/>
      <pageSetup scale="49" fitToHeight="0" orientation="landscape" r:id="rId3"/>
    </customSheetView>
    <customSheetView guid="{7E96D643-834B-40CD-8E58-19C1F2E2A6F1}" scale="94" showGridLines="0" fitToPage="1">
      <selection activeCell="B2" sqref="B2:K27"/>
      <pageMargins left="0.7" right="0.7" top="0.75" bottom="0.75" header="0.3" footer="0.3"/>
      <pageSetup scale="49" fitToHeight="0" orientation="landscape" r:id="rId4"/>
    </customSheetView>
    <customSheetView guid="{370A90FE-A320-447B-8995-A714325CBEA5}" scale="94" showGridLines="0" fitToPage="1" topLeftCell="E1">
      <selection activeCell="N18" sqref="N18"/>
      <pageMargins left="0.7" right="0.7" top="0.75" bottom="0.75" header="0.3" footer="0.3"/>
      <pageSetup scale="44" fitToHeight="0" orientation="landscape" r:id="rId5"/>
    </customSheetView>
  </customSheetViews>
  <mergeCells count="8">
    <mergeCell ref="B4:K4"/>
    <mergeCell ref="B3:K3"/>
    <mergeCell ref="B2:K2"/>
    <mergeCell ref="B10:B11"/>
    <mergeCell ref="B6:K7"/>
    <mergeCell ref="D11:F11"/>
    <mergeCell ref="G11:I11"/>
    <mergeCell ref="J11:K11"/>
  </mergeCells>
  <pageMargins left="0.7" right="0.7" top="0.75" bottom="0.75" header="0.3" footer="0.3"/>
  <pageSetup scale="49" fitToHeight="0" orientation="landscape"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B10" sqref="B10"/>
    </sheetView>
  </sheetViews>
  <sheetFormatPr defaultRowHeight="15" x14ac:dyDescent="0.25"/>
  <cols>
    <col min="1" max="1" width="42.7109375" style="67" customWidth="1"/>
    <col min="2" max="2" width="13.85546875" style="67" customWidth="1"/>
  </cols>
  <sheetData>
    <row r="2" spans="1:2" x14ac:dyDescent="0.25">
      <c r="A2" s="403" t="s">
        <v>187</v>
      </c>
      <c r="B2" s="403"/>
    </row>
    <row r="3" spans="1:2" ht="15.75" x14ac:dyDescent="0.25">
      <c r="A3" s="404" t="s">
        <v>188</v>
      </c>
      <c r="B3" s="404"/>
    </row>
    <row r="4" spans="1:2" ht="24.6" customHeight="1" x14ac:dyDescent="0.25">
      <c r="A4" s="405" t="s">
        <v>189</v>
      </c>
      <c r="B4" s="405"/>
    </row>
    <row r="5" spans="1:2" x14ac:dyDescent="0.25">
      <c r="A5" s="68" t="s">
        <v>190</v>
      </c>
      <c r="B5" s="69">
        <f>'1. Reconciliation'!C23</f>
        <v>88784696</v>
      </c>
    </row>
    <row r="6" spans="1:2" x14ac:dyDescent="0.25">
      <c r="A6" s="68" t="s">
        <v>191</v>
      </c>
      <c r="B6" s="70">
        <f>'1. Reconciliation'!C26</f>
        <v>7.3095876794610493E-2</v>
      </c>
    </row>
    <row r="7" spans="1:2" x14ac:dyDescent="0.25">
      <c r="A7" s="68" t="s">
        <v>192</v>
      </c>
      <c r="B7" s="70">
        <f>'1. Reconciliation'!C87</f>
        <v>-0.11773060594610567</v>
      </c>
    </row>
    <row r="8" spans="1:2" x14ac:dyDescent="0.25">
      <c r="A8" s="71"/>
      <c r="B8" s="72"/>
    </row>
    <row r="9" spans="1:2" x14ac:dyDescent="0.25">
      <c r="A9" s="73" t="s">
        <v>193</v>
      </c>
      <c r="B9" s="74"/>
    </row>
    <row r="10" spans="1:2" ht="39.6" customHeight="1" x14ac:dyDescent="0.25">
      <c r="A10" s="68" t="s">
        <v>23</v>
      </c>
      <c r="B10" s="75" t="e">
        <f>'1. Reconciliation'!#REF!</f>
        <v>#REF!</v>
      </c>
    </row>
    <row r="11" spans="1:2" x14ac:dyDescent="0.25">
      <c r="A11" s="68" t="s">
        <v>24</v>
      </c>
      <c r="B11" s="75" t="e">
        <f>'1. Reconciliation'!#REF!</f>
        <v>#REF!</v>
      </c>
    </row>
    <row r="12" spans="1:2" x14ac:dyDescent="0.25">
      <c r="A12" s="68" t="s">
        <v>25</v>
      </c>
      <c r="B12" s="75" t="e">
        <f>'1. Reconciliation'!#REF!</f>
        <v>#REF!</v>
      </c>
    </row>
    <row r="13" spans="1:2" x14ac:dyDescent="0.25">
      <c r="A13" s="68" t="s">
        <v>26</v>
      </c>
      <c r="B13" s="75" t="e">
        <f>'1. Reconciliation'!#REF!</f>
        <v>#REF!</v>
      </c>
    </row>
    <row r="14" spans="1:2" ht="44.45" customHeight="1" x14ac:dyDescent="0.25">
      <c r="A14" s="68" t="s">
        <v>27</v>
      </c>
      <c r="B14" s="75" t="e">
        <f>'1. Reconciliation'!#REF!</f>
        <v>#REF!</v>
      </c>
    </row>
    <row r="15" spans="1:2" x14ac:dyDescent="0.25">
      <c r="A15" s="76" t="s">
        <v>194</v>
      </c>
      <c r="B15" s="77" t="e">
        <f>SUM(B10:B14)</f>
        <v>#REF!</v>
      </c>
    </row>
  </sheetData>
  <customSheetViews>
    <customSheetView guid="{44973865-8AD1-45FA-8A45-05D76FF96A5F}" scale="110" topLeftCell="A3">
      <selection activeCell="B10" sqref="B10"/>
      <pageMargins left="0.7" right="0.7" top="0.75" bottom="0.75" header="0.3" footer="0.3"/>
      <pageSetup orientation="landscape" horizontalDpi="1200" verticalDpi="1200" r:id="rId1"/>
    </customSheetView>
    <customSheetView guid="{7A66AF9E-81E8-451B-9A4F-DFE08BFB5947}" scale="110" showPageBreaks="1" topLeftCell="A3">
      <selection activeCell="B10" sqref="B10"/>
      <pageMargins left="0.7" right="0.7" top="0.75" bottom="0.75" header="0.3" footer="0.3"/>
      <pageSetup orientation="landscape" horizontalDpi="1200" verticalDpi="1200" r:id="rId2"/>
    </customSheetView>
    <customSheetView guid="{670863B2-8243-412A-8B8D-30885F188694}" scale="110" topLeftCell="A3">
      <selection activeCell="B10" sqref="B10"/>
      <pageMargins left="0.7" right="0.7" top="0.75" bottom="0.75" header="0.3" footer="0.3"/>
      <pageSetup orientation="landscape" horizontalDpi="1200" verticalDpi="1200" r:id="rId3"/>
    </customSheetView>
    <customSheetView guid="{7E96D643-834B-40CD-8E58-19C1F2E2A6F1}" scale="110" topLeftCell="A3">
      <selection activeCell="B10" sqref="B10"/>
      <pageMargins left="0.7" right="0.7" top="0.75" bottom="0.75" header="0.3" footer="0.3"/>
      <pageSetup orientation="landscape" horizontalDpi="1200" verticalDpi="1200" r:id="rId4"/>
    </customSheetView>
    <customSheetView guid="{370A90FE-A320-447B-8995-A714325CBEA5}" scale="110" topLeftCell="A3">
      <selection activeCell="B7" sqref="A7:B14"/>
      <pageMargins left="0.7" right="0.7" top="0.75" bottom="0.75" header="0.3" footer="0.3"/>
      <pageSetup orientation="landscape" horizontalDpi="1200" verticalDpi="1200" r:id="rId5"/>
    </customSheetView>
  </customSheetViews>
  <mergeCells count="3">
    <mergeCell ref="A2:B2"/>
    <mergeCell ref="A3:B3"/>
    <mergeCell ref="A4:B4"/>
  </mergeCells>
  <pageMargins left="0.7" right="0.7" top="0.75" bottom="0.75" header="0.3" footer="0.3"/>
  <pageSetup orientation="landscape"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2021-07-07T11:37:55Z</cp:lastPrinted>
  <dcterms:created xsi:type="dcterms:W3CDTF">2020-01-09T18:52:12Z</dcterms:created>
  <dcterms:modified xsi:type="dcterms:W3CDTF">2021-07-12T18:46:26Z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