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13_ncr:1_{3116D85F-A686-4AB4-A38D-5AFA4D1D793C}" xr6:coauthVersionLast="47" xr6:coauthVersionMax="47" xr10:uidLastSave="{00000000-0000-0000-0000-000000000000}"/>
  <bookViews>
    <workbookView xWindow="-120" yWindow="-120" windowWidth="29040" windowHeight="15840" tabRatio="889" activeTab="1"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ccine Clinics and Testing" sheetId="21" r:id="rId6"/>
    <sheet name="6. Value Based Care Participati" sheetId="8" r:id="rId7"/>
    <sheet name="7. COVID-19 Advances, Relief Fu" sheetId="20" r:id="rId8"/>
    <sheet name="Edit of Request Summary" sheetId="4" r:id="rId9"/>
    <sheet name="Non-Financial- Reimb. Ratio" sheetId="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_xlchart.v1.0" hidden="1">'1. Reconciliation'!$J$11:$J$18</definedName>
    <definedName name="_xlchart.v1.1" hidden="1">'1. Reconciliation'!$K$11:$K$18</definedName>
    <definedName name="_xlchart.v1.2" hidden="1">'1. Reconciliation'!$J$71:$J$77</definedName>
    <definedName name="_xlchart.v1.3" hidden="1">'1. Reconciliation'!$K$71:$K$77</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Reconciliation'!$B$6:$O$116</definedName>
    <definedName name="_xlnm.Print_Area" localSheetId="2">'2. Charge and NPR Detail'!$A$2:$H$49</definedName>
    <definedName name="_xlnm.Print_Area" localSheetId="3">'3. Utilization'!$B$1:$D$17</definedName>
    <definedName name="_xlnm.Print_Area" localSheetId="4">'4. Inflation'!$B$1:$D$20</definedName>
    <definedName name="_xlnm.Print_Area" localSheetId="5">'5. Vaccine Clinics and Testing'!$B$7:$D$48</definedName>
    <definedName name="_xlnm.Print_Area" localSheetId="6">'6. Value Based Care Participati'!$B$2:$F$15</definedName>
    <definedName name="_xlnm.Print_Area" localSheetId="0">Overview!$A$1:$B$13</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20" l="1"/>
  <c r="H36" i="20" s="1"/>
  <c r="E16" i="16"/>
  <c r="E9" i="16"/>
  <c r="E10" i="16"/>
  <c r="E11" i="16"/>
  <c r="E12" i="16"/>
  <c r="E13" i="16"/>
  <c r="E14" i="16"/>
  <c r="E8" i="16"/>
  <c r="H12" i="20" l="1"/>
  <c r="F12" i="20" l="1"/>
  <c r="I12" i="20" s="1"/>
  <c r="I26" i="20"/>
  <c r="I25" i="20"/>
  <c r="I14" i="20" l="1"/>
  <c r="F14" i="20"/>
  <c r="C14" i="20" l="1"/>
  <c r="D14" i="15"/>
  <c r="F17" i="15"/>
  <c r="G14" i="15"/>
  <c r="G12" i="15"/>
  <c r="E11" i="15"/>
  <c r="D74" i="15"/>
  <c r="E18" i="15"/>
  <c r="E14" i="15"/>
  <c r="D11" i="15"/>
  <c r="G11" i="15"/>
  <c r="F11" i="15"/>
  <c r="D10" i="8"/>
  <c r="C36" i="21"/>
  <c r="F14" i="16" l="1"/>
  <c r="D106" i="15"/>
  <c r="D105" i="15"/>
  <c r="D104" i="15"/>
  <c r="D103" i="15"/>
  <c r="D102" i="15"/>
  <c r="D101" i="15"/>
  <c r="C40" i="15"/>
  <c r="D9" i="16"/>
  <c r="C21" i="21"/>
  <c r="C26" i="20"/>
  <c r="C25" i="20"/>
  <c r="F14" i="8"/>
  <c r="E14" i="8"/>
  <c r="D14" i="8"/>
  <c r="C16" i="20" l="1"/>
  <c r="C12" i="20"/>
  <c r="C15" i="20"/>
  <c r="C17" i="20"/>
  <c r="C18" i="20"/>
  <c r="C19" i="20"/>
  <c r="C20" i="20"/>
  <c r="C21" i="20"/>
  <c r="C22" i="20"/>
  <c r="C23" i="20"/>
  <c r="C24" i="20"/>
  <c r="C27" i="20"/>
  <c r="C13" i="20"/>
  <c r="C23" i="21" l="1"/>
  <c r="G72" i="15"/>
  <c r="F72" i="15"/>
  <c r="E17" i="15" l="1"/>
  <c r="D35" i="13"/>
  <c r="C47" i="15"/>
  <c r="C42" i="15"/>
  <c r="H13" i="15" l="1"/>
  <c r="C49" i="15"/>
  <c r="C46" i="15"/>
  <c r="C41" i="15"/>
  <c r="D10" i="7" l="1"/>
  <c r="D11" i="16" l="1"/>
  <c r="D10" i="16" l="1"/>
  <c r="D50" i="15" l="1"/>
  <c r="D51" i="15"/>
  <c r="D52" i="15"/>
  <c r="C48" i="15" l="1"/>
  <c r="D16" i="7"/>
  <c r="D16" i="16" l="1"/>
  <c r="F7" i="16"/>
  <c r="D38" i="15"/>
  <c r="G83" i="15"/>
  <c r="G85" i="15" s="1"/>
  <c r="G86" i="15" s="1"/>
  <c r="G23" i="15"/>
  <c r="G25" i="15" s="1"/>
  <c r="C74" i="15"/>
  <c r="C73" i="15"/>
  <c r="C72" i="15"/>
  <c r="C13" i="15"/>
  <c r="C12" i="15"/>
  <c r="F83" i="15"/>
  <c r="F85" i="15" s="1"/>
  <c r="F86" i="15" s="1"/>
  <c r="F23" i="15"/>
  <c r="F25" i="15" s="1"/>
  <c r="C19" i="15"/>
  <c r="C18" i="15"/>
  <c r="C17" i="15"/>
  <c r="C16" i="15"/>
  <c r="B12" i="4" s="1"/>
  <c r="C15" i="15"/>
  <c r="C14" i="15"/>
  <c r="K28" i="20"/>
  <c r="J28" i="20"/>
  <c r="I28" i="20"/>
  <c r="H28" i="20"/>
  <c r="G28" i="20"/>
  <c r="D28" i="20"/>
  <c r="E28" i="20"/>
  <c r="F28" i="20"/>
  <c r="F15" i="16"/>
  <c r="F13" i="16"/>
  <c r="F12" i="16"/>
  <c r="F11" i="16"/>
  <c r="F10" i="16"/>
  <c r="F9" i="16"/>
  <c r="F8" i="16"/>
  <c r="D21" i="13"/>
  <c r="C49" i="13"/>
  <c r="C39" i="13"/>
  <c r="D39" i="13"/>
  <c r="C15" i="13"/>
  <c r="H49" i="13"/>
  <c r="G49" i="13"/>
  <c r="F49" i="13"/>
  <c r="E48" i="13"/>
  <c r="D48" i="13" s="1"/>
  <c r="E47" i="13"/>
  <c r="D47" i="13" s="1"/>
  <c r="E46" i="13"/>
  <c r="D46" i="13" s="1"/>
  <c r="E45" i="13"/>
  <c r="E44" i="13"/>
  <c r="G39" i="13"/>
  <c r="E39" i="13"/>
  <c r="J25" i="13"/>
  <c r="I25" i="13"/>
  <c r="H25" i="13"/>
  <c r="G25" i="13"/>
  <c r="F25" i="13"/>
  <c r="C25" i="13"/>
  <c r="E24" i="13"/>
  <c r="E25" i="13" s="1"/>
  <c r="D23" i="13"/>
  <c r="D22" i="13"/>
  <c r="C109" i="15"/>
  <c r="E109" i="15" s="1"/>
  <c r="D107" i="15"/>
  <c r="D48" i="15"/>
  <c r="D47" i="15"/>
  <c r="C58" i="15"/>
  <c r="C27" i="21"/>
  <c r="D27" i="21"/>
  <c r="D23" i="21"/>
  <c r="F26" i="15" l="1"/>
  <c r="F35" i="13"/>
  <c r="F39" i="13" s="1"/>
  <c r="B10" i="4"/>
  <c r="B11" i="4"/>
  <c r="G26" i="15"/>
  <c r="H35" i="13"/>
  <c r="H39" i="13" s="1"/>
  <c r="B13" i="4"/>
  <c r="B14" i="4"/>
  <c r="D49" i="13"/>
  <c r="D25" i="13"/>
  <c r="C53" i="13"/>
  <c r="C28" i="20"/>
  <c r="C28" i="21"/>
  <c r="C38" i="21" s="1"/>
  <c r="C45" i="21" s="1"/>
  <c r="D53" i="13"/>
  <c r="E49" i="13"/>
  <c r="F53" i="13" s="1"/>
  <c r="D28" i="21"/>
  <c r="D38" i="21" s="1"/>
  <c r="D45" i="21" s="1"/>
  <c r="C28" i="15"/>
  <c r="D18" i="7"/>
  <c r="C39" i="15"/>
  <c r="D108" i="15"/>
  <c r="D46" i="15"/>
  <c r="D49" i="15"/>
  <c r="D45" i="15"/>
  <c r="H83" i="15"/>
  <c r="H85" i="15" s="1"/>
  <c r="H86" i="15" s="1"/>
  <c r="E83" i="15"/>
  <c r="E85" i="15" s="1"/>
  <c r="E86" i="15" s="1"/>
  <c r="D83" i="15"/>
  <c r="D85" i="15" s="1"/>
  <c r="D86" i="15" s="1"/>
  <c r="C82" i="15"/>
  <c r="C81" i="15"/>
  <c r="C80" i="15"/>
  <c r="C79" i="15"/>
  <c r="C78" i="15"/>
  <c r="C77" i="15"/>
  <c r="C76" i="15"/>
  <c r="C75" i="15"/>
  <c r="C71" i="15"/>
  <c r="E23" i="15"/>
  <c r="E25" i="15" s="1"/>
  <c r="H23" i="15"/>
  <c r="H25" i="15" s="1"/>
  <c r="H26" i="15" s="1"/>
  <c r="D23" i="15"/>
  <c r="D25" i="15" s="1"/>
  <c r="C20" i="15"/>
  <c r="C21" i="15"/>
  <c r="C22" i="15"/>
  <c r="C11" i="15"/>
  <c r="C54" i="13" l="1"/>
  <c r="D26" i="15"/>
  <c r="J35" i="13"/>
  <c r="J39" i="13" s="1"/>
  <c r="I35" i="13"/>
  <c r="I39" i="13" s="1"/>
  <c r="E26" i="15"/>
  <c r="C19" i="7"/>
  <c r="D42" i="21"/>
  <c r="D46" i="21" s="1"/>
  <c r="C42" i="21"/>
  <c r="C46" i="21" s="1"/>
  <c r="E53" i="13"/>
  <c r="C55" i="13"/>
  <c r="B15" i="4"/>
  <c r="C83" i="15"/>
  <c r="C88" i="15" l="1"/>
  <c r="C89" i="15" s="1"/>
  <c r="C85" i="15"/>
  <c r="C23" i="15"/>
  <c r="F54" i="13" l="1"/>
  <c r="F55" i="13" s="1"/>
  <c r="C86" i="15"/>
  <c r="B7" i="4" s="1"/>
  <c r="B5" i="4"/>
  <c r="C29" i="15"/>
  <c r="C31" i="15" s="1"/>
  <c r="C32" i="15" s="1"/>
  <c r="D100" i="15"/>
  <c r="D99" i="15"/>
  <c r="D98" i="15"/>
  <c r="D97" i="15"/>
  <c r="D96" i="15"/>
  <c r="D95" i="15"/>
  <c r="D109" i="15" l="1"/>
  <c r="C114" i="15"/>
  <c r="C115" i="15" s="1"/>
  <c r="D44" i="15"/>
  <c r="D43" i="15"/>
  <c r="D42" i="15"/>
  <c r="D41" i="15"/>
  <c r="D40" i="15"/>
  <c r="C111" i="15" l="1"/>
  <c r="C112" i="15" s="1"/>
  <c r="C25" i="15" l="1"/>
  <c r="C26" i="15" s="1"/>
  <c r="D54" i="13" l="1"/>
  <c r="D55" i="13" s="1"/>
  <c r="C53" i="15"/>
  <c r="E54" i="15" s="1"/>
  <c r="D39" i="15"/>
  <c r="D53" i="15" s="1"/>
  <c r="C59" i="15" l="1"/>
  <c r="C61" i="15" s="1"/>
  <c r="C62" i="15" s="1"/>
  <c r="B6" i="4"/>
  <c r="E54" i="13"/>
  <c r="E55" i="13" s="1"/>
  <c r="C55" i="15"/>
  <c r="C56" i="15" s="1"/>
</calcChain>
</file>

<file path=xl/sharedStrings.xml><?xml version="1.0" encoding="utf-8"?>
<sst xmlns="http://schemas.openxmlformats.org/spreadsheetml/2006/main" count="383" uniqueCount="285">
  <si>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</si>
  <si>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</si>
  <si>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</si>
  <si>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</si>
  <si>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</si>
  <si>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</si>
  <si>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</si>
  <si>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</si>
  <si>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</si>
  <si>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</si>
  <si>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</si>
  <si>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</si>
  <si>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</si>
  <si>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</si>
  <si>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</si>
  <si>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</si>
  <si>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</si>
  <si>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</si>
  <si>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</si>
  <si>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</si>
  <si>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</si>
  <si>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</si>
  <si>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</si>
  <si>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</si>
  <si>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</si>
  <si>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</si>
  <si>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</si>
  <si>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</si>
  <si>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</si>
  <si>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</si>
  <si>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</si>
  <si>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</si>
  <si>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</si>
  <si>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</si>
  <si>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</si>
  <si>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</si>
  <si>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</si>
  <si>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</si>
  <si>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</si>
  <si>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</si>
  <si>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</si>
  <si>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</si>
  <si>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</si>
  <si>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</si>
  <si>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</si>
  <si>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</si>
  <si>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Locum tenans (MDs)</t>
  </si>
  <si>
    <t>Drugs</t>
  </si>
  <si>
    <t>Health Care Provider Tax</t>
  </si>
  <si>
    <t>Cost Savings</t>
  </si>
  <si>
    <t>Other (specify, add additional rows as necessary)</t>
  </si>
  <si>
    <t>FY 22 Proposed Budget</t>
  </si>
  <si>
    <t>Projection-to-Budget</t>
  </si>
  <si>
    <t>Table 3: NPR Variance - FY 2021 Projection to FY 2022 Proposed Budget</t>
  </si>
  <si>
    <t>Projection derived as of:</t>
  </si>
  <si>
    <t>(ex. May 2021 year-to-date)</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</si>
  <si>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</si>
  <si>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</si>
  <si>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</si>
  <si>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</si>
  <si>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</si>
  <si>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</si>
  <si>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</si>
  <si>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</si>
  <si>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</si>
  <si>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</si>
  <si>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</si>
  <si>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</si>
  <si>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</si>
  <si>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</si>
  <si>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</si>
  <si>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</si>
  <si>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</si>
  <si>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</si>
  <si>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</si>
  <si>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</si>
  <si>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</si>
  <si>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</si>
  <si>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</si>
  <si>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</si>
  <si>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</si>
  <si>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</si>
  <si>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</si>
  <si>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</si>
  <si>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</si>
  <si>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</si>
  <si>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</si>
  <si>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FY21 Budget FPP</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</si>
  <si>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</si>
  <si>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</si>
  <si>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</si>
  <si>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</si>
  <si>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</si>
  <si>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</si>
  <si>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</si>
  <si>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</si>
  <si>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</si>
  <si>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</si>
  <si>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</si>
  <si>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</si>
  <si>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</si>
  <si>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</si>
  <si>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</si>
  <si>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</si>
  <si>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</si>
  <si>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</si>
  <si>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</si>
  <si>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</si>
  <si>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</si>
  <si>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</si>
  <si>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</si>
  <si>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</si>
  <si>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</si>
  <si>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</si>
  <si>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Example: Wages/Compensation- Medical Staff</t>
  </si>
  <si>
    <t>This is inflation price effect only, does not account for new hires (volume).</t>
  </si>
  <si>
    <t>Wages/Compensation - Medical Staff</t>
  </si>
  <si>
    <t>Wages/Compensation - Non-Medical Staff</t>
  </si>
  <si>
    <t>Medical Supplies</t>
  </si>
  <si>
    <t>Other (Please Specify)</t>
  </si>
  <si>
    <t>*should be 100%</t>
  </si>
  <si>
    <t>Not intended for systemwide look or comparative analysis</t>
  </si>
  <si>
    <t>Appendix 5</t>
  </si>
  <si>
    <t>Vaccine Clinics and Testing</t>
  </si>
  <si>
    <t>Where is your hospital reporting Vaccine/Testing Revenues and Expenses?</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</si>
  <si>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</si>
  <si>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</si>
  <si>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</si>
  <si>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</si>
  <si>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</si>
  <si>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</si>
  <si>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</si>
  <si>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</si>
  <si>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</si>
  <si>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</si>
  <si>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</si>
  <si>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</si>
  <si>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</si>
  <si>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</si>
  <si>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</si>
  <si>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</si>
  <si>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</si>
  <si>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</si>
  <si>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</si>
  <si>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</si>
  <si>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</si>
  <si>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</si>
  <si>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</si>
  <si>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</si>
  <si>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</si>
  <si>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</si>
  <si>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</si>
  <si>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</si>
  <si>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</si>
  <si>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</si>
  <si>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</si>
  <si>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</si>
  <si>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</si>
  <si>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</si>
  <si>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</si>
  <si>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</si>
  <si>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</si>
  <si>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</si>
  <si>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</si>
  <si>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</si>
  <si>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</si>
  <si>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</si>
  <si>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</si>
  <si>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</si>
  <si>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</si>
  <si>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</si>
  <si>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</si>
  <si>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</si>
  <si>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Description</t>
  </si>
  <si>
    <t>Amounts Received</t>
  </si>
  <si>
    <t>Recognized in Revenues</t>
  </si>
  <si>
    <t>Recorded as a liability</t>
  </si>
  <si>
    <t>As of Sept. 30, 2020</t>
  </si>
  <si>
    <t>As of Sept. 30, 2021</t>
  </si>
  <si>
    <t>As of Sept. 30, 2022</t>
  </si>
  <si>
    <t>Medicare Advance - Repayment</t>
  </si>
  <si>
    <t>VT Blue Cross Advance</t>
  </si>
  <si>
    <t>VT Healthcare Stabilization Grant</t>
  </si>
  <si>
    <t>VT Medicaid Retainer Funding</t>
  </si>
  <si>
    <t>VT Hazard Pay Grant</t>
  </si>
  <si>
    <t>VT Unemployment Credit - CARES Act</t>
  </si>
  <si>
    <t>CARES Workforce Retention Credit</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</si>
  <si>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</si>
  <si>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</si>
  <si>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</si>
  <si>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</si>
  <si>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</si>
  <si>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</si>
  <si>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</si>
  <si>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</si>
  <si>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</si>
  <si>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</si>
  <si>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</si>
  <si>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</si>
  <si>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</si>
  <si>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</si>
  <si>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</si>
  <si>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</si>
  <si>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</si>
  <si>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</si>
  <si>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</si>
  <si>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</si>
  <si>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</si>
  <si>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</si>
  <si>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</si>
  <si>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</si>
  <si>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</si>
  <si>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</si>
  <si>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</si>
  <si>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</si>
  <si>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</si>
  <si>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</si>
  <si>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</si>
  <si>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</si>
  <si>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</si>
  <si>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</si>
  <si>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</si>
  <si>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</si>
  <si>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</si>
  <si>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</si>
  <si>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</si>
  <si>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</si>
  <si>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</si>
  <si>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</si>
  <si>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</si>
  <si>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</si>
  <si>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</si>
  <si>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</si>
  <si>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</si>
  <si>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</si>
  <si>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</si>
  <si>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</si>
  <si>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</si>
  <si>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Commercial (not Self-Insured)</t>
  </si>
  <si>
    <t>DSH</t>
  </si>
  <si>
    <t>from Appendix 4. Inflation (price effect only)</t>
  </si>
  <si>
    <t xml:space="preserve"> FPP by Commercial Payer (in state only)*</t>
  </si>
  <si>
    <t>*if possible</t>
  </si>
  <si>
    <t>tie to income statement</t>
  </si>
  <si>
    <t>Weighted Average 
(Column C * Column E)</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</si>
  <si>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</si>
  <si>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</si>
  <si>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 xml:space="preserve">Physician activity </t>
  </si>
  <si>
    <t>MRI decrease (machine down in 2022)</t>
  </si>
  <si>
    <t>Added SCU PSIU Days</t>
  </si>
  <si>
    <t>Misc</t>
  </si>
  <si>
    <t>Depreciation</t>
  </si>
  <si>
    <t>Interest</t>
  </si>
  <si>
    <t>Physician wRVU Increase</t>
  </si>
  <si>
    <t>Med Surg Supplies related to volume</t>
  </si>
  <si>
    <t>IP Routine Volume (Back to Pre- Covid levels)</t>
  </si>
  <si>
    <t>OP Ancilliary Revenue (Back to Pre-Covid levels)</t>
  </si>
  <si>
    <t>Contract Staffing (Covid increase hrly rate)</t>
  </si>
  <si>
    <t xml:space="preserve">Inflation based on actual FYTD 2.28.21 CCR </t>
  </si>
  <si>
    <t>Inflation based on actual FYTD 2.28.21 CCR - and additional 2.2% inflation</t>
  </si>
  <si>
    <t>RRMC pays $20/hour additional to Contract Staffing for Covid</t>
  </si>
  <si>
    <t>Other Self Insurance</t>
  </si>
  <si>
    <t>Rate Increase</t>
  </si>
  <si>
    <t>IT Works/Information Systems</t>
  </si>
  <si>
    <t>Other (unable to provide NPR at Service Level)</t>
  </si>
  <si>
    <t>The NPR amount equal to 1% rate / Price increase is $1,246,892</t>
  </si>
  <si>
    <t>Other (Psych ICU and ADAP)</t>
  </si>
  <si>
    <t>HPP Grant</t>
  </si>
  <si>
    <t>VAHHS Grant</t>
  </si>
  <si>
    <t>DCF Grant</t>
  </si>
  <si>
    <t>Yes</t>
  </si>
  <si>
    <t>State Vaccine Clinic</t>
  </si>
  <si>
    <t>CIC Health</t>
  </si>
  <si>
    <t>ADAP</t>
  </si>
  <si>
    <t>Covid Exp(Vaccine Clinic, Specimen Collection, Crisis Prev.)</t>
  </si>
  <si>
    <t>Retail Pharmacy</t>
  </si>
  <si>
    <t>Misc (various cost centers)</t>
  </si>
  <si>
    <t>Retail and 340b Program</t>
  </si>
  <si>
    <t>FY 2021 Wage Increase not budgeted.  Budgeted 3% in FY 2021.  Minimum wage increase</t>
  </si>
  <si>
    <t>FEMA</t>
  </si>
  <si>
    <t xml:space="preserve">Note:  Capital purchases used to justify Provider Relief Funds were not recorded as revenue instead posted as a change in fund balance. </t>
  </si>
  <si>
    <r>
      <t xml:space="preserve">CARES Act Funding </t>
    </r>
    <r>
      <rPr>
        <u/>
        <sz val="11"/>
        <color theme="1"/>
        <rFont val="Calibri"/>
        <family val="2"/>
        <scheme val="minor"/>
      </rPr>
      <t>(see note below)</t>
    </r>
  </si>
  <si>
    <t xml:space="preserve">             For this reason the Fiscal 2021 recognized revenues in this schedule will not agree to the Fiscal 2021 projected Profit &amp; Loss.</t>
  </si>
  <si>
    <t>COVID related Capital</t>
  </si>
  <si>
    <t>COVID Relief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</si>
</sst>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i/>
      <sz val="12"/>
      <color rgb="FFFF0000"/>
      <name val="Calibri"/>
      <family val="2"/>
    </font>
    <font>
      <i/>
      <sz val="24"/>
      <color rgb="FFFF0000"/>
      <name val="Calibri"/>
      <family val="2"/>
      <scheme val="minor"/>
    </font>
    <font>
      <b/>
      <sz val="11"/>
      <color rgb="FFFF0000"/>
      <name val="Calibri"/>
      <family val="2"/>
      <scheme val="minor"/>
    </font>
    <font>
      <u/>
      <sz val="11"/>
      <color theme="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cellStyleXfs>
  <cellXfs count="417">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4" borderId="12" xfId="5" applyFont="1" applyFill="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0" fillId="0" borderId="4" xfId="3" applyFont="1" applyBorder="1" applyAlignment="1">
      <alignment horizontal="center"/>
    </xf>
    <xf numFmtId="44" fontId="0" fillId="0" borderId="4" xfId="2"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2" fillId="0" borderId="0" xfId="1" applyNumberFormat="1" applyFont="1" applyAlignment="1">
      <alignment horizontal="right"/>
    </xf>
    <xf numFmtId="0" fontId="2" fillId="0" borderId="0" xfId="1" applyNumberFormat="1" applyFont="1" applyAlignment="1">
      <alignment horizontal="center" wrapText="1"/>
    </xf>
    <xf numFmtId="0" fontId="19" fillId="0" borderId="0" xfId="1" applyNumberFormat="1" applyFont="1" applyAlignment="1">
      <alignment horizontal="right"/>
    </xf>
    <xf numFmtId="166" fontId="19" fillId="0" borderId="0" xfId="1" applyNumberFormat="1" applyFont="1"/>
    <xf numFmtId="0" fontId="20" fillId="0" borderId="0" xfId="1" applyNumberFormat="1" applyFont="1" applyAlignment="1">
      <alignment horizontal="right"/>
    </xf>
    <xf numFmtId="0" fontId="19" fillId="0" borderId="21" xfId="1" applyNumberFormat="1" applyFont="1" applyBorder="1"/>
    <xf numFmtId="166" fontId="20" fillId="0" borderId="14" xfId="1" applyNumberFormat="1" applyFont="1" applyBorder="1"/>
    <xf numFmtId="166" fontId="20" fillId="0" borderId="0" xfId="1" applyNumberFormat="1" applyFont="1"/>
    <xf numFmtId="0" fontId="19" fillId="11" borderId="22" xfId="1" applyNumberFormat="1" applyFont="1" applyFill="1" applyBorder="1"/>
    <xf numFmtId="0" fontId="21" fillId="0" borderId="0" xfId="1" applyNumberFormat="1" applyFont="1" applyFill="1" applyAlignment="1">
      <alignment horizontal="right"/>
    </xf>
    <xf numFmtId="166" fontId="21" fillId="0" borderId="0" xfId="1" applyNumberFormat="1" applyFont="1" applyFill="1"/>
    <xf numFmtId="0" fontId="22" fillId="0" borderId="0" xfId="1" applyNumberFormat="1" applyFont="1" applyAlignment="1">
      <alignment horizontal="right"/>
    </xf>
    <xf numFmtId="0" fontId="22" fillId="0" borderId="23" xfId="1" applyNumberFormat="1" applyFont="1" applyBorder="1"/>
    <xf numFmtId="166" fontId="22" fillId="0" borderId="0" xfId="1" applyNumberFormat="1" applyFont="1" applyBorder="1"/>
    <xf numFmtId="166" fontId="22" fillId="0" borderId="0" xfId="1" applyNumberFormat="1" applyFont="1"/>
    <xf numFmtId="0" fontId="23" fillId="0" borderId="19" xfId="1" applyNumberFormat="1" applyFont="1" applyBorder="1" applyAlignment="1">
      <alignment horizontal="center" vertical="center"/>
    </xf>
    <xf numFmtId="0" fontId="23" fillId="15" borderId="13" xfId="1" applyNumberFormat="1" applyFont="1" applyFill="1" applyBorder="1" applyAlignment="1">
      <alignment horizontal="center" vertical="center"/>
    </xf>
    <xf numFmtId="166" fontId="23" fillId="14" borderId="4" xfId="1" applyNumberFormat="1" applyFont="1" applyFill="1" applyBorder="1" applyAlignment="1">
      <alignment horizontal="center" vertical="center" wrapText="1"/>
    </xf>
    <xf numFmtId="166" fontId="23" fillId="0" borderId="0" xfId="1" applyNumberFormat="1" applyFont="1" applyAlignment="1">
      <alignment horizontal="center" vertical="center" wrapText="1"/>
    </xf>
    <xf numFmtId="166" fontId="23" fillId="0" borderId="0" xfId="1" applyNumberFormat="1" applyFont="1" applyAlignment="1">
      <alignment horizontal="center" vertical="center"/>
    </xf>
    <xf numFmtId="0" fontId="20" fillId="0" borderId="15" xfId="1" applyNumberFormat="1" applyFont="1" applyBorder="1" applyAlignment="1">
      <alignment horizontal="right"/>
    </xf>
    <xf numFmtId="0" fontId="19" fillId="16" borderId="23" xfId="1" applyNumberFormat="1" applyFont="1" applyFill="1" applyBorder="1"/>
    <xf numFmtId="166" fontId="20" fillId="16" borderId="24" xfId="1" applyNumberFormat="1" applyFont="1" applyFill="1" applyBorder="1"/>
    <xf numFmtId="166" fontId="20" fillId="16" borderId="17" xfId="1" applyNumberFormat="1" applyFont="1" applyFill="1" applyBorder="1"/>
    <xf numFmtId="0" fontId="19" fillId="0" borderId="15" xfId="1" applyNumberFormat="1" applyFont="1" applyBorder="1" applyAlignment="1">
      <alignment horizontal="right"/>
    </xf>
    <xf numFmtId="49" fontId="19" fillId="17" borderId="23" xfId="1" quotePrefix="1" applyNumberFormat="1" applyFont="1" applyFill="1" applyBorder="1"/>
    <xf numFmtId="167" fontId="19" fillId="17" borderId="24" xfId="2" quotePrefix="1" applyNumberFormat="1" applyFont="1" applyFill="1" applyBorder="1"/>
    <xf numFmtId="167" fontId="19" fillId="17" borderId="17" xfId="2" quotePrefix="1" applyNumberFormat="1" applyFont="1" applyFill="1" applyBorder="1"/>
    <xf numFmtId="164" fontId="19" fillId="0" borderId="0" xfId="3" applyNumberFormat="1" applyFont="1"/>
    <xf numFmtId="49" fontId="20" fillId="0" borderId="23" xfId="1" quotePrefix="1" applyNumberFormat="1" applyFont="1" applyBorder="1" applyAlignment="1">
      <alignment horizontal="right"/>
    </xf>
    <xf numFmtId="167" fontId="20" fillId="0" borderId="24" xfId="2" quotePrefix="1" applyNumberFormat="1" applyFont="1" applyBorder="1"/>
    <xf numFmtId="167" fontId="20" fillId="18" borderId="17" xfId="2" quotePrefix="1" applyNumberFormat="1" applyFont="1" applyFill="1" applyBorder="1"/>
    <xf numFmtId="164" fontId="20" fillId="0" borderId="0" xfId="3" applyNumberFormat="1" applyFont="1"/>
    <xf numFmtId="0" fontId="20" fillId="0" borderId="23" xfId="1" quotePrefix="1" applyNumberFormat="1" applyFont="1" applyBorder="1" applyAlignment="1">
      <alignment horizontal="right"/>
    </xf>
    <xf numFmtId="49" fontId="19" fillId="0" borderId="23" xfId="1" quotePrefix="1" applyNumberFormat="1" applyFont="1" applyFill="1" applyBorder="1"/>
    <xf numFmtId="167" fontId="19" fillId="0" borderId="24" xfId="2" quotePrefix="1" applyNumberFormat="1" applyFont="1" applyFill="1" applyBorder="1"/>
    <xf numFmtId="0" fontId="19" fillId="0" borderId="23" xfId="1" applyNumberFormat="1" applyFont="1" applyFill="1" applyBorder="1"/>
    <xf numFmtId="167" fontId="19" fillId="0" borderId="17" xfId="2" quotePrefix="1" applyNumberFormat="1" applyFont="1" applyFill="1" applyBorder="1"/>
    <xf numFmtId="167" fontId="19" fillId="16" borderId="24" xfId="1" applyNumberFormat="1" applyFont="1" applyFill="1" applyBorder="1"/>
    <xf numFmtId="0" fontId="20" fillId="0" borderId="15" xfId="1" applyNumberFormat="1" applyFont="1" applyFill="1" applyBorder="1" applyAlignment="1">
      <alignment horizontal="right"/>
    </xf>
    <xf numFmtId="0" fontId="20" fillId="0" borderId="23" xfId="1" quotePrefix="1" applyNumberFormat="1" applyFont="1" applyFill="1" applyBorder="1" applyAlignment="1">
      <alignment horizontal="right"/>
    </xf>
    <xf numFmtId="167" fontId="20" fillId="0" borderId="24" xfId="2" quotePrefix="1" applyNumberFormat="1" applyFont="1" applyFill="1" applyBorder="1"/>
    <xf numFmtId="167" fontId="20" fillId="0" borderId="17" xfId="2" quotePrefix="1" applyNumberFormat="1" applyFont="1" applyFill="1" applyBorder="1"/>
    <xf numFmtId="164" fontId="20" fillId="0" borderId="0" xfId="3" applyNumberFormat="1" applyFont="1" applyFill="1"/>
    <xf numFmtId="166" fontId="20" fillId="0" borderId="0" xfId="1" applyNumberFormat="1" applyFont="1" applyFill="1"/>
    <xf numFmtId="49" fontId="19" fillId="0" borderId="23" xfId="1" quotePrefix="1" applyNumberFormat="1" applyFont="1" applyFill="1" applyBorder="1" applyAlignment="1">
      <alignment horizontal="right"/>
    </xf>
    <xf numFmtId="49" fontId="20" fillId="0" borderId="23" xfId="1" quotePrefix="1" applyNumberFormat="1" applyFont="1" applyFill="1" applyBorder="1" applyAlignment="1">
      <alignment horizontal="right"/>
    </xf>
    <xf numFmtId="0" fontId="19" fillId="17" borderId="23" xfId="1" applyNumberFormat="1" applyFont="1" applyFill="1" applyBorder="1"/>
    <xf numFmtId="0" fontId="19" fillId="16" borderId="23" xfId="1" applyNumberFormat="1" applyFont="1" applyFill="1" applyBorder="1" applyAlignment="1">
      <alignment horizontal="left"/>
    </xf>
    <xf numFmtId="167" fontId="19" fillId="16" borderId="24" xfId="2" quotePrefix="1" applyNumberFormat="1" applyFont="1" applyFill="1" applyBorder="1"/>
    <xf numFmtId="0" fontId="19" fillId="11" borderId="23" xfId="1" applyNumberFormat="1" applyFont="1" applyFill="1" applyBorder="1"/>
    <xf numFmtId="167" fontId="20" fillId="11" borderId="24" xfId="1" applyNumberFormat="1" applyFont="1" applyFill="1" applyBorder="1"/>
    <xf numFmtId="167" fontId="20" fillId="11" borderId="17" xfId="1" applyNumberFormat="1" applyFont="1" applyFill="1" applyBorder="1"/>
    <xf numFmtId="164" fontId="19" fillId="0" borderId="0" xfId="3" applyNumberFormat="1" applyFont="1" applyFill="1"/>
    <xf numFmtId="0" fontId="20" fillId="0" borderId="23" xfId="1" applyNumberFormat="1" applyFont="1" applyFill="1" applyBorder="1" applyAlignment="1">
      <alignment horizontal="right"/>
    </xf>
    <xf numFmtId="49" fontId="20" fillId="0" borderId="23" xfId="1" applyNumberFormat="1" applyFont="1" applyFill="1" applyBorder="1" applyAlignment="1">
      <alignment horizontal="right"/>
    </xf>
    <xf numFmtId="49" fontId="20" fillId="0" borderId="23" xfId="1" applyNumberFormat="1" applyFont="1" applyBorder="1" applyAlignment="1">
      <alignment horizontal="right"/>
    </xf>
    <xf numFmtId="0" fontId="19" fillId="0" borderId="23" xfId="1" applyNumberFormat="1" applyFont="1" applyFill="1" applyBorder="1" applyAlignment="1">
      <alignment horizontal="left"/>
    </xf>
    <xf numFmtId="0" fontId="20" fillId="0" borderId="23" xfId="1" applyNumberFormat="1" applyFont="1" applyBorder="1"/>
    <xf numFmtId="167" fontId="20" fillId="0" borderId="24" xfId="1" applyNumberFormat="1" applyFont="1" applyBorder="1"/>
    <xf numFmtId="167" fontId="20" fillId="0" borderId="17" xfId="1" applyNumberFormat="1" applyFont="1" applyBorder="1"/>
    <xf numFmtId="0" fontId="19" fillId="5" borderId="15" xfId="1" applyNumberFormat="1" applyFont="1" applyFill="1" applyBorder="1" applyAlignment="1">
      <alignment horizontal="right"/>
    </xf>
    <xf numFmtId="0" fontId="19" fillId="5" borderId="23" xfId="1" applyNumberFormat="1" applyFont="1" applyFill="1" applyBorder="1"/>
    <xf numFmtId="167" fontId="19" fillId="5" borderId="24" xfId="2" applyNumberFormat="1" applyFont="1" applyFill="1" applyBorder="1"/>
    <xf numFmtId="166" fontId="19" fillId="5" borderId="0" xfId="1" applyNumberFormat="1" applyFont="1" applyFill="1"/>
    <xf numFmtId="0" fontId="19" fillId="5" borderId="25" xfId="1" applyNumberFormat="1" applyFont="1" applyFill="1" applyBorder="1"/>
    <xf numFmtId="167" fontId="19" fillId="18" borderId="17" xfId="2" quotePrefix="1" applyNumberFormat="1" applyFont="1" applyFill="1" applyBorder="1"/>
    <xf numFmtId="0" fontId="19" fillId="16" borderId="26" xfId="1" applyNumberFormat="1" applyFont="1" applyFill="1" applyBorder="1" applyAlignment="1">
      <alignment horizontal="left"/>
    </xf>
    <xf numFmtId="167" fontId="19" fillId="16" borderId="27" xfId="2" quotePrefix="1" applyNumberFormat="1" applyFont="1" applyFill="1" applyBorder="1"/>
    <xf numFmtId="0" fontId="19" fillId="0" borderId="23" xfId="1" applyNumberFormat="1" applyFont="1" applyBorder="1"/>
    <xf numFmtId="167" fontId="19" fillId="0" borderId="24" xfId="2" quotePrefix="1" applyNumberFormat="1" applyFont="1" applyBorder="1"/>
    <xf numFmtId="167" fontId="19" fillId="0" borderId="17" xfId="2" quotePrefix="1" applyNumberFormat="1" applyFont="1" applyBorder="1"/>
    <xf numFmtId="0" fontId="19" fillId="2" borderId="23" xfId="1" applyNumberFormat="1" applyFont="1" applyFill="1" applyBorder="1" applyAlignment="1">
      <alignment horizontal="left"/>
    </xf>
    <xf numFmtId="167" fontId="19" fillId="2" borderId="24" xfId="3" quotePrefix="1" applyNumberFormat="1" applyFont="1" applyFill="1" applyBorder="1"/>
    <xf numFmtId="167" fontId="19" fillId="2" borderId="17" xfId="3" quotePrefix="1" applyNumberFormat="1" applyFont="1" applyFill="1" applyBorder="1"/>
    <xf numFmtId="0" fontId="20" fillId="0" borderId="23" xfId="1" applyNumberFormat="1" applyFont="1" applyBorder="1" applyAlignment="1">
      <alignment horizontal="right"/>
    </xf>
    <xf numFmtId="164" fontId="20" fillId="0" borderId="24" xfId="3" quotePrefix="1" applyNumberFormat="1" applyFont="1" applyBorder="1"/>
    <xf numFmtId="164" fontId="20" fillId="0" borderId="17" xfId="3" quotePrefix="1" applyNumberFormat="1" applyFont="1" applyBorder="1"/>
    <xf numFmtId="0" fontId="20" fillId="0" borderId="20" xfId="1" applyNumberFormat="1" applyFont="1" applyBorder="1" applyAlignment="1">
      <alignment horizontal="right"/>
    </xf>
    <xf numFmtId="0" fontId="20" fillId="0" borderId="28" xfId="1" applyNumberFormat="1" applyFont="1" applyBorder="1" applyAlignment="1">
      <alignment horizontal="right"/>
    </xf>
    <xf numFmtId="164" fontId="20" fillId="0" borderId="29" xfId="3" quotePrefix="1" applyNumberFormat="1" applyFont="1" applyBorder="1"/>
    <xf numFmtId="164" fontId="20" fillId="0" borderId="30" xfId="3" quotePrefix="1" applyNumberFormat="1" applyFont="1" applyBorder="1"/>
    <xf numFmtId="166" fontId="20" fillId="0" borderId="0" xfId="1" applyNumberFormat="1" applyFont="1" applyBorder="1"/>
    <xf numFmtId="0" fontId="20" fillId="0" borderId="0" xfId="1" applyNumberFormat="1" applyFont="1"/>
    <xf numFmtId="0" fontId="0" fillId="0" borderId="0" xfId="1" applyNumberFormat="1" applyFont="1" applyAlignment="1">
      <alignment horizontal="right"/>
    </xf>
    <xf numFmtId="0" fontId="0" fillId="0" borderId="0" xfId="1" applyNumberFormat="1" applyFont="1"/>
    <xf numFmtId="0" fontId="18" fillId="0" borderId="0" xfId="1" applyNumberFormat="1" applyFont="1" applyAlignment="1">
      <alignment horizontal="right"/>
    </xf>
    <xf numFmtId="0" fontId="18" fillId="9" borderId="0" xfId="1" applyNumberFormat="1" applyFont="1" applyFill="1"/>
    <xf numFmtId="166" fontId="18" fillId="9" borderId="0" xfId="1" applyNumberFormat="1" applyFont="1" applyFill="1"/>
    <xf numFmtId="166" fontId="18" fillId="0" borderId="0" xfId="1" applyNumberFormat="1" applyFont="1"/>
    <xf numFmtId="0" fontId="18" fillId="0" borderId="0" xfId="1" applyNumberFormat="1" applyFont="1"/>
    <xf numFmtId="0" fontId="19" fillId="0" borderId="14" xfId="1" applyNumberFormat="1" applyFont="1" applyBorder="1"/>
    <xf numFmtId="0" fontId="19" fillId="11" borderId="2" xfId="1" applyNumberFormat="1" applyFont="1" applyFill="1" applyBorder="1"/>
    <xf numFmtId="0" fontId="22" fillId="0" borderId="0" xfId="1" applyNumberFormat="1" applyFont="1" applyBorder="1"/>
    <xf numFmtId="0" fontId="19"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0" fillId="5" borderId="0" xfId="5" applyFont="1" applyFill="1" applyAlignment="1">
      <alignment horizontal="center"/>
    </xf>
    <xf numFmtId="0" fontId="19" fillId="0" borderId="0" xfId="5" applyFont="1" applyAlignment="1"/>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5"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31" xfId="5" applyFill="1" applyBorder="1" applyAlignment="1">
      <alignment wrapText="1"/>
    </xf>
    <xf numFmtId="44" fontId="5" fillId="11" borderId="32" xfId="2" applyFont="1" applyFill="1" applyBorder="1" applyAlignment="1">
      <alignment horizontal="center" wrapText="1"/>
    </xf>
    <xf numFmtId="44" fontId="5" fillId="11" borderId="33"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3" xfId="5" applyFont="1" applyFill="1" applyBorder="1" applyAlignment="1">
      <alignment wrapText="1"/>
    </xf>
    <xf numFmtId="44" fontId="4" fillId="11" borderId="36" xfId="2" applyFont="1" applyFill="1" applyBorder="1"/>
    <xf numFmtId="44" fontId="4" fillId="11" borderId="14" xfId="2" applyFont="1" applyFill="1" applyBorder="1"/>
    <xf numFmtId="9" fontId="4" fillId="11" borderId="14" xfId="2" applyNumberFormat="1" applyFont="1" applyFill="1" applyBorder="1"/>
    <xf numFmtId="44" fontId="4" fillId="11" borderId="37" xfId="2" applyFont="1" applyFill="1" applyBorder="1"/>
    <xf numFmtId="0" fontId="5" fillId="11" borderId="28" xfId="5" applyFont="1" applyFill="1" applyBorder="1" applyAlignment="1">
      <alignment horizontal="left" wrapText="1" indent="3"/>
    </xf>
    <xf numFmtId="44" fontId="4" fillId="17" borderId="34" xfId="2" applyFont="1" applyFill="1" applyBorder="1" applyAlignment="1">
      <alignment horizontal="center" wrapText="1"/>
    </xf>
    <xf numFmtId="44" fontId="4" fillId="17" borderId="35" xfId="2" applyFont="1" applyFill="1" applyBorder="1" applyAlignment="1">
      <alignment horizontal="center" wrapText="1"/>
    </xf>
    <xf numFmtId="44" fontId="0" fillId="0" borderId="4" xfId="2" applyFont="1" applyBorder="1" applyAlignment="1">
      <alignment horizontal="center" wrapText="1"/>
    </xf>
    <xf numFmtId="0" fontId="26" fillId="19" borderId="4" xfId="0" applyFont="1" applyFill="1" applyBorder="1" applyAlignment="1">
      <alignment wrapText="1"/>
    </xf>
    <xf numFmtId="9" fontId="26" fillId="19" borderId="4" xfId="3" applyFont="1" applyFill="1" applyBorder="1" applyAlignment="1">
      <alignment horizontal="center"/>
    </xf>
    <xf numFmtId="44" fontId="26" fillId="19" borderId="4" xfId="2" applyFont="1" applyFill="1" applyBorder="1" applyAlignment="1">
      <alignment horizontal="center"/>
    </xf>
    <xf numFmtId="9" fontId="26" fillId="19" borderId="4" xfId="3" applyFont="1" applyFill="1" applyBorder="1" applyAlignment="1">
      <alignment horizontal="center" wrapText="1"/>
    </xf>
    <xf numFmtId="164" fontId="26" fillId="19"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5" fillId="0" borderId="1" xfId="5" applyFont="1" applyBorder="1" applyAlignment="1">
      <alignment horizontal="center" wrapText="1"/>
    </xf>
    <xf numFmtId="0" fontId="0" fillId="9" borderId="0" xfId="0" applyFill="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2" fillId="0" borderId="40" xfId="0" applyFont="1" applyBorder="1" applyAlignment="1">
      <alignment horizontal="left" indent="3"/>
    </xf>
    <xf numFmtId="0" fontId="2" fillId="0" borderId="19" xfId="0" applyFont="1" applyBorder="1" applyAlignment="1">
      <alignment horizontal="center" vertical="center"/>
    </xf>
    <xf numFmtId="0" fontId="2" fillId="0" borderId="18" xfId="0" applyFont="1" applyBorder="1" applyAlignment="1">
      <alignment horizontal="center"/>
    </xf>
    <xf numFmtId="0" fontId="2" fillId="0" borderId="7" xfId="0" applyFont="1" applyBorder="1" applyAlignment="1">
      <alignment horizontal="center"/>
    </xf>
    <xf numFmtId="165" fontId="1" fillId="0" borderId="24" xfId="0" applyNumberFormat="1" applyFont="1" applyBorder="1"/>
    <xf numFmtId="0" fontId="2" fillId="0" borderId="16" xfId="0" applyFont="1" applyBorder="1" applyAlignment="1">
      <alignment horizontal="center" vertical="center"/>
    </xf>
    <xf numFmtId="0" fontId="2" fillId="0" borderId="41" xfId="0" applyFont="1" applyBorder="1" applyAlignment="1">
      <alignment horizontal="center" vertical="center"/>
    </xf>
    <xf numFmtId="166" fontId="0" fillId="2" borderId="4" xfId="1" applyNumberFormat="1" applyFont="1" applyFill="1" applyBorder="1" applyProtection="1"/>
    <xf numFmtId="164" fontId="26" fillId="0" borderId="0" xfId="3" applyNumberFormat="1" applyFont="1" applyBorder="1" applyAlignment="1">
      <alignment horizontal="left"/>
    </xf>
    <xf numFmtId="167" fontId="4" fillId="6" borderId="4" xfId="2" applyNumberFormat="1" applyFont="1" applyFill="1" applyBorder="1"/>
    <xf numFmtId="167" fontId="4" fillId="0" borderId="4" xfId="2" applyNumberFormat="1" applyFont="1" applyBorder="1"/>
    <xf numFmtId="10" fontId="4" fillId="6" borderId="4" xfId="3" applyNumberFormat="1" applyFont="1" applyFill="1" applyBorder="1"/>
    <xf numFmtId="164" fontId="4" fillId="0" borderId="4" xfId="3" applyNumberFormat="1" applyFont="1" applyBorder="1"/>
    <xf numFmtId="10" fontId="5" fillId="0" borderId="4" xfId="3" applyNumberFormat="1" applyFont="1" applyBorder="1"/>
    <xf numFmtId="9" fontId="0" fillId="0" borderId="4" xfId="3" applyNumberFormat="1" applyFont="1" applyBorder="1" applyAlignment="1">
      <alignment horizontal="center"/>
    </xf>
    <xf numFmtId="44" fontId="0" fillId="0" borderId="0" xfId="2" applyFont="1" applyFill="1" applyBorder="1" applyAlignment="1">
      <alignment horizontal="center"/>
    </xf>
    <xf numFmtId="10" fontId="0" fillId="0" borderId="4" xfId="3" applyNumberFormat="1" applyFont="1" applyBorder="1" applyAlignment="1">
      <alignment horizontal="center"/>
    </xf>
    <xf numFmtId="44" fontId="0" fillId="0" borderId="0" xfId="2" applyFont="1" applyBorder="1" applyAlignment="1">
      <alignment horizontal="center"/>
    </xf>
    <xf numFmtId="167" fontId="4" fillId="0" borderId="0" xfId="5" applyNumberFormat="1"/>
    <xf numFmtId="10" fontId="4" fillId="0" borderId="4" xfId="3" applyNumberFormat="1" applyFont="1" applyBorder="1"/>
    <xf numFmtId="0" fontId="0" fillId="0" borderId="4" xfId="0" applyBorder="1" applyAlignment="1">
      <alignment wrapText="1"/>
    </xf>
    <xf numFmtId="44" fontId="0" fillId="0" borderId="4" xfId="2" applyFont="1" applyFill="1" applyBorder="1" applyAlignment="1">
      <alignment horizontal="center"/>
    </xf>
    <xf numFmtId="164" fontId="0" fillId="0" borderId="0" xfId="3" applyNumberFormat="1" applyFont="1" applyFill="1" applyBorder="1" applyAlignment="1">
      <alignment horizontal="left"/>
    </xf>
    <xf numFmtId="0" fontId="0" fillId="0" borderId="0" xfId="0" applyFill="1"/>
    <xf numFmtId="166" fontId="0" fillId="0" borderId="4" xfId="1" applyNumberFormat="1" applyFont="1" applyFill="1" applyBorder="1" applyProtection="1">
      <protection locked="0"/>
    </xf>
    <xf numFmtId="164" fontId="0" fillId="0" borderId="0" xfId="3" applyNumberFormat="1" applyFont="1" applyFill="1" applyBorder="1" applyAlignment="1">
      <alignment horizontal="left" wrapText="1"/>
    </xf>
    <xf numFmtId="164" fontId="4" fillId="3" borderId="4" xfId="3" applyNumberFormat="1" applyFont="1" applyFill="1" applyBorder="1"/>
    <xf numFmtId="165" fontId="1" fillId="0" borderId="27" xfId="2" applyNumberFormat="1" applyFont="1" applyBorder="1"/>
    <xf numFmtId="165" fontId="1" fillId="0" borderId="40" xfId="2" applyNumberFormat="1" applyFont="1" applyBorder="1"/>
    <xf numFmtId="165" fontId="1" fillId="0" borderId="38" xfId="2" applyNumberFormat="1" applyFont="1" applyBorder="1"/>
    <xf numFmtId="165" fontId="1" fillId="0" borderId="39" xfId="2" applyNumberFormat="1" applyFont="1" applyBorder="1"/>
    <xf numFmtId="166" fontId="30" fillId="0" borderId="0" xfId="1" applyNumberFormat="1" applyFont="1" applyFill="1"/>
    <xf numFmtId="165" fontId="8" fillId="0" borderId="12" xfId="2" applyNumberFormat="1" applyFont="1" applyBorder="1"/>
    <xf numFmtId="165" fontId="8" fillId="0" borderId="13" xfId="2" applyNumberFormat="1" applyFont="1" applyBorder="1"/>
    <xf numFmtId="0" fontId="8" fillId="0" borderId="12" xfId="5" applyFont="1" applyBorder="1" applyAlignment="1">
      <alignment horizontal="center"/>
    </xf>
    <xf numFmtId="0" fontId="18" fillId="0" borderId="0" xfId="0" applyFont="1"/>
    <xf numFmtId="44" fontId="0" fillId="0" borderId="0" xfId="2" applyFont="1" applyFill="1" applyBorder="1" applyAlignment="1">
      <alignment horizontal="left"/>
    </xf>
    <xf numFmtId="166" fontId="0" fillId="0" borderId="4" xfId="1" applyNumberFormat="1" applyFont="1" applyBorder="1" applyAlignment="1" applyProtection="1">
      <alignment horizontal="center"/>
      <protection locked="0"/>
    </xf>
    <xf numFmtId="44" fontId="0" fillId="0" borderId="4" xfId="2" applyFont="1" applyBorder="1" applyProtection="1">
      <protection locked="0"/>
    </xf>
    <xf numFmtId="165" fontId="0" fillId="5" borderId="0" xfId="2" applyNumberFormat="1" applyFont="1" applyFill="1" applyBorder="1" applyAlignment="1">
      <alignment horizontal="center"/>
    </xf>
    <xf numFmtId="1" fontId="8" fillId="0" borderId="12" xfId="2" applyNumberFormat="1" applyFont="1" applyFill="1" applyBorder="1"/>
    <xf numFmtId="1" fontId="8" fillId="0" borderId="12" xfId="2" applyNumberFormat="1" applyFont="1" applyBorder="1"/>
    <xf numFmtId="165" fontId="1" fillId="0" borderId="24" xfId="0" applyNumberFormat="1" applyFont="1" applyFill="1" applyBorder="1"/>
    <xf numFmtId="165" fontId="1" fillId="0" borderId="15" xfId="0" applyNumberFormat="1" applyFont="1" applyBorder="1"/>
    <xf numFmtId="0" fontId="2" fillId="0" borderId="42" xfId="0" applyFont="1" applyBorder="1" applyAlignment="1">
      <alignment horizontal="center" vertical="center"/>
    </xf>
    <xf numFmtId="165" fontId="1" fillId="0" borderId="25" xfId="0" applyNumberFormat="1" applyFont="1" applyBorder="1"/>
    <xf numFmtId="165" fontId="1" fillId="0" borderId="25" xfId="0" applyNumberFormat="1" applyFont="1" applyFill="1" applyBorder="1"/>
    <xf numFmtId="165" fontId="1" fillId="0" borderId="43" xfId="2" applyNumberFormat="1" applyFont="1" applyBorder="1"/>
    <xf numFmtId="165" fontId="0" fillId="0" borderId="0" xfId="0" applyNumberFormat="1" applyFill="1"/>
    <xf numFmtId="165" fontId="18" fillId="0" borderId="0" xfId="0" applyNumberFormat="1" applyFont="1"/>
    <xf numFmtId="10" fontId="4" fillId="11" borderId="0" xfId="3" applyNumberFormat="1" applyFont="1" applyFill="1" applyBorder="1"/>
    <xf numFmtId="43" fontId="31" fillId="0" borderId="0" xfId="1" applyFont="1" applyAlignment="1">
      <alignment horizontal="center"/>
    </xf>
    <xf numFmtId="44" fontId="0" fillId="0" borderId="0" xfId="0" applyNumberFormat="1"/>
    <xf numFmtId="165" fontId="16" fillId="0" borderId="0" xfId="0" applyNumberFormat="1" applyFont="1"/>
    <xf numFmtId="0" fontId="0" fillId="0" borderId="15" xfId="0" applyFont="1" applyBorder="1"/>
    <xf numFmtId="164" fontId="0" fillId="5" borderId="4" xfId="3" applyNumberFormat="1" applyFont="1" applyFill="1" applyBorder="1"/>
    <xf numFmtId="10" fontId="0" fillId="5" borderId="4" xfId="3" applyNumberFormat="1" applyFont="1" applyFill="1" applyBorder="1"/>
    <xf numFmtId="165" fontId="4" fillId="9" borderId="4" xfId="3" applyNumberFormat="1" applyFont="1" applyFill="1" applyBorder="1"/>
    <xf numFmtId="44" fontId="4" fillId="9" borderId="4" xfId="2" applyFont="1" applyFill="1" applyBorder="1"/>
    <xf numFmtId="44" fontId="4" fillId="0" borderId="4" xfId="2" applyFont="1" applyFill="1" applyBorder="1"/>
    <xf numFmtId="164" fontId="25" fillId="3" borderId="4" xfId="3" applyNumberFormat="1" applyFont="1" applyFill="1" applyBorder="1"/>
    <xf numFmtId="10" fontId="0" fillId="3" borderId="4" xfId="2" applyNumberFormat="1" applyFont="1" applyFill="1" applyBorder="1" applyAlignment="1">
      <alignment horizontal="center"/>
    </xf>
    <xf numFmtId="165" fontId="8" fillId="0" borderId="17" xfId="2" applyNumberFormat="1" applyFont="1" applyBorder="1"/>
    <xf numFmtId="0" fontId="16" fillId="0" borderId="20" xfId="0" applyFont="1" applyBorder="1"/>
    <xf numFmtId="165" fontId="8" fillId="0" borderId="3" xfId="2" applyNumberFormat="1" applyFont="1" applyBorder="1"/>
    <xf numFmtId="165" fontId="8" fillId="0" borderId="7" xfId="2" applyNumberFormat="1" applyFont="1" applyBorder="1"/>
    <xf numFmtId="0" fontId="8" fillId="0" borderId="19" xfId="0" applyFont="1" applyBorder="1" applyAlignment="1">
      <alignment horizontal="right"/>
    </xf>
    <xf numFmtId="0" fontId="8" fillId="0" borderId="15" xfId="0" applyFont="1" applyBorder="1" applyAlignment="1">
      <alignment horizontal="right"/>
    </xf>
    <xf numFmtId="164" fontId="0" fillId="0" borderId="0" xfId="0" applyNumberFormat="1" applyBorder="1"/>
    <xf numFmtId="0" fontId="0" fillId="0" borderId="0" xfId="0" applyAlignment="1">
      <alignment horizontal="left"/>
    </xf>
    <xf numFmtId="165" fontId="0" fillId="0" borderId="0" xfId="1" applyNumberFormat="1" applyFont="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24"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0" borderId="4" xfId="5" applyBorder="1" applyAlignment="1">
      <alignment horizontal="center" vertical="center"/>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4"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11" borderId="1" xfId="1" applyNumberFormat="1" applyFont="1" applyFill="1" applyBorder="1" applyAlignment="1">
      <alignment horizontal="center"/>
    </xf>
    <xf numFmtId="0" fontId="19" fillId="11" borderId="2" xfId="1" applyNumberFormat="1" applyFont="1" applyFill="1" applyBorder="1" applyAlignment="1">
      <alignment horizontal="center"/>
    </xf>
    <xf numFmtId="0" fontId="19" fillId="11" borderId="3" xfId="1" applyNumberFormat="1" applyFont="1" applyFill="1" applyBorder="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19" fillId="8" borderId="1" xfId="5" applyFont="1" applyFill="1" applyBorder="1" applyAlignment="1">
      <alignment horizontal="center"/>
    </xf>
    <xf numFmtId="0" fontId="19" fillId="8" borderId="2" xfId="5" applyFont="1" applyFill="1" applyBorder="1" applyAlignment="1">
      <alignment horizontal="center"/>
    </xf>
    <xf numFmtId="0" fontId="19" fillId="8" borderId="3" xfId="5" applyFont="1" applyFill="1" applyBorder="1" applyAlignment="1">
      <alignment horizontal="center"/>
    </xf>
    <xf numFmtId="0" fontId="19" fillId="0" borderId="0" xfId="5" applyFont="1" applyAlignment="1">
      <alignment horizontal="center"/>
    </xf>
    <xf numFmtId="0" fontId="27" fillId="7" borderId="1" xfId="5" applyFont="1" applyFill="1" applyBorder="1" applyAlignment="1">
      <alignment horizontal="center"/>
    </xf>
    <xf numFmtId="0" fontId="27" fillId="7" borderId="2" xfId="5" applyFont="1" applyFill="1" applyBorder="1" applyAlignment="1">
      <alignment horizontal="center"/>
    </xf>
    <xf numFmtId="0" fontId="27" fillId="7" borderId="3" xfId="5"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8" fillId="9" borderId="0" xfId="5" applyFont="1" applyFill="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22" xfId="0" applyFont="1" applyBorder="1" applyAlignment="1">
      <alignment horizontal="center"/>
    </xf>
    <xf numFmtId="0" fontId="2" fillId="0" borderId="3"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xf numFmtId="164" fontId="0" fillId="0" borderId="0" xfId="3" applyNumberFormat="1" applyFont="1" applyBorder="1" applyAlignment="1">
      <alignment horizontal="left"/>
    </xf>
    <xf numFmtId="0" fontId="0" fillId="0" borderId="0" xfId="0" applyBorder="1" applyAlignment="1">
      <alignment horizontal="left"/>
    </xf>
  </cellXfs>
  <cellStyles count="8">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5"/>
  <sheetViews>
    <sheetView topLeftCell="A4" workbookViewId="0">
      <selection activeCell="B17" sqref="B17"/>
    </sheetView>
  </sheetViews>
  <sheetFormatPr defaultRowHeight="15" x14ac:dyDescent="0.25"/>
  <cols>
    <col min="1" max="1" width="16.28515625" customWidth="1"/>
    <col min="2" max="2" width="66.7109375" style="27" customWidth="1"/>
    <col min="3" max="3" width="17.42578125" customWidth="1"/>
  </cols>
  <sheetData>
    <row r="1" spans="1:3" ht="18.75" x14ac:dyDescent="0.3">
      <c r="A1" s="335" t="s">
        <v>0</v>
      </c>
      <c r="B1" s="335"/>
    </row>
    <row r="2" spans="1:3" x14ac:dyDescent="0.25">
      <c r="A2" s="336" t="s">
        <v>1</v>
      </c>
      <c r="B2" s="336"/>
    </row>
    <row r="3" spans="1:3" ht="166.9" customHeight="1" x14ac:dyDescent="0.25">
      <c r="A3" s="334" t="s">
        <v>214</v>
      </c>
      <c r="B3" s="334"/>
    </row>
    <row r="4" spans="1:3" x14ac:dyDescent="0.25">
      <c r="B4" s="45"/>
    </row>
    <row r="5" spans="1:3" ht="15.75" x14ac:dyDescent="0.25">
      <c r="A5" s="112" t="s">
        <v>2</v>
      </c>
      <c r="B5" s="26" t="s">
        <v>3</v>
      </c>
      <c r="C5" s="44"/>
    </row>
    <row r="6" spans="1:3" ht="15.75" x14ac:dyDescent="0.25">
      <c r="A6" s="112" t="s">
        <v>2</v>
      </c>
      <c r="B6" s="44" t="s">
        <v>4</v>
      </c>
      <c r="C6" s="44"/>
    </row>
    <row r="7" spans="1:3" ht="15.75" x14ac:dyDescent="0.25">
      <c r="A7" s="111" t="s">
        <v>5</v>
      </c>
      <c r="B7" s="44" t="s">
        <v>6</v>
      </c>
      <c r="C7" s="44"/>
    </row>
    <row r="8" spans="1:3" ht="15.75" x14ac:dyDescent="0.25">
      <c r="A8" s="112" t="s">
        <v>2</v>
      </c>
      <c r="B8" s="26" t="s">
        <v>7</v>
      </c>
      <c r="C8" s="44"/>
    </row>
    <row r="9" spans="1:3" ht="15.75" x14ac:dyDescent="0.25">
      <c r="A9" s="112" t="s">
        <v>2</v>
      </c>
      <c r="B9" s="26" t="s">
        <v>8</v>
      </c>
      <c r="C9" s="44"/>
    </row>
    <row r="10" spans="1:3" ht="15.75" x14ac:dyDescent="0.25">
      <c r="A10" s="112" t="s">
        <v>2</v>
      </c>
      <c r="B10" s="26" t="s">
        <v>9</v>
      </c>
      <c r="C10" s="44"/>
    </row>
    <row r="11" spans="1:3" ht="15.75" x14ac:dyDescent="0.25">
      <c r="A11" s="112" t="s">
        <v>2</v>
      </c>
      <c r="B11" s="26" t="s">
        <v>10</v>
      </c>
      <c r="C11" s="44"/>
    </row>
    <row r="12" spans="1:3" ht="15.75" x14ac:dyDescent="0.25">
      <c r="A12" s="112" t="s">
        <v>2</v>
      </c>
      <c r="B12" s="44" t="s">
        <v>11</v>
      </c>
      <c r="C12" s="44"/>
    </row>
    <row r="13" spans="1:3" x14ac:dyDescent="0.25">
      <c r="C13" s="28"/>
    </row>
    <row r="14" spans="1:3" x14ac:dyDescent="0.25">
      <c r="C14" s="28"/>
    </row>
    <row r="15" spans="1:3" x14ac:dyDescent="0.25">
      <c r="C15"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196</v>
      </c>
    </row>
    <row r="3" spans="2:5" x14ac:dyDescent="0.25">
      <c r="B3" t="s">
        <v>197</v>
      </c>
      <c r="C3" t="s">
        <v>198</v>
      </c>
      <c r="D3" t="s">
        <v>167</v>
      </c>
      <c r="E3" t="s">
        <v>166</v>
      </c>
    </row>
    <row r="4" spans="2:5" x14ac:dyDescent="0.25">
      <c r="B4" s="16" t="s">
        <v>199</v>
      </c>
      <c r="C4" s="25">
        <v>180</v>
      </c>
      <c r="D4" s="25">
        <v>100</v>
      </c>
      <c r="E4" s="16" t="s">
        <v>200</v>
      </c>
    </row>
    <row r="5" spans="2:5" x14ac:dyDescent="0.25">
      <c r="B5" s="16" t="s">
        <v>201</v>
      </c>
      <c r="C5" s="25">
        <v>163</v>
      </c>
      <c r="D5" s="25">
        <v>100</v>
      </c>
      <c r="E5" s="25">
        <v>85</v>
      </c>
    </row>
    <row r="6" spans="2:5" x14ac:dyDescent="0.25">
      <c r="B6" s="16" t="s">
        <v>202</v>
      </c>
      <c r="C6" s="25">
        <v>186</v>
      </c>
      <c r="D6" s="25">
        <v>100</v>
      </c>
      <c r="E6" s="25">
        <v>58</v>
      </c>
    </row>
    <row r="7" spans="2:5" x14ac:dyDescent="0.25">
      <c r="B7" s="16" t="s">
        <v>203</v>
      </c>
      <c r="C7" s="25">
        <v>92</v>
      </c>
      <c r="D7" s="25">
        <v>100</v>
      </c>
      <c r="E7" s="25">
        <v>52</v>
      </c>
    </row>
    <row r="8" spans="2:5" x14ac:dyDescent="0.25">
      <c r="B8" s="16" t="s">
        <v>204</v>
      </c>
      <c r="C8" s="25">
        <v>166</v>
      </c>
      <c r="D8" s="25">
        <v>100</v>
      </c>
      <c r="E8" s="25">
        <v>76</v>
      </c>
    </row>
    <row r="9" spans="2:5" x14ac:dyDescent="0.25">
      <c r="B9" s="16" t="s">
        <v>205</v>
      </c>
      <c r="C9" s="25">
        <v>130</v>
      </c>
      <c r="D9" s="25">
        <v>100</v>
      </c>
      <c r="E9" s="25">
        <v>75</v>
      </c>
    </row>
    <row r="10" spans="2:5" x14ac:dyDescent="0.25">
      <c r="B10" s="16" t="s">
        <v>206</v>
      </c>
      <c r="C10" s="25">
        <v>160</v>
      </c>
      <c r="D10" s="25">
        <v>100</v>
      </c>
      <c r="E10" s="25">
        <v>79</v>
      </c>
    </row>
    <row r="11" spans="2:5" x14ac:dyDescent="0.25">
      <c r="B11" s="16" t="s">
        <v>207</v>
      </c>
      <c r="C11" s="25">
        <v>120</v>
      </c>
      <c r="D11" s="25">
        <v>100</v>
      </c>
      <c r="E11" s="25">
        <v>81</v>
      </c>
    </row>
    <row r="12" spans="2:5" x14ac:dyDescent="0.25">
      <c r="B12" s="16" t="s">
        <v>208</v>
      </c>
      <c r="C12" s="25">
        <v>160</v>
      </c>
      <c r="D12" s="25">
        <v>100</v>
      </c>
      <c r="E12" s="25">
        <v>72</v>
      </c>
    </row>
    <row r="13" spans="2:5" x14ac:dyDescent="0.25">
      <c r="B13" s="16" t="s">
        <v>209</v>
      </c>
      <c r="C13" s="25">
        <v>150</v>
      </c>
      <c r="D13" s="25">
        <v>100</v>
      </c>
      <c r="E13" s="16">
        <v>55</v>
      </c>
    </row>
    <row r="14" spans="2:5" x14ac:dyDescent="0.25">
      <c r="B14" s="16" t="s">
        <v>210</v>
      </c>
      <c r="C14" s="25">
        <v>264</v>
      </c>
      <c r="D14" s="25">
        <v>100</v>
      </c>
      <c r="E14" s="25">
        <v>44</v>
      </c>
    </row>
    <row r="15" spans="2:5" x14ac:dyDescent="0.25">
      <c r="B15" s="16" t="s">
        <v>211</v>
      </c>
      <c r="C15" s="25">
        <v>178</v>
      </c>
      <c r="D15" s="25">
        <v>100</v>
      </c>
      <c r="E15" s="25">
        <v>108</v>
      </c>
    </row>
    <row r="16" spans="2:5" x14ac:dyDescent="0.25">
      <c r="B16" s="16" t="s">
        <v>212</v>
      </c>
      <c r="C16" s="25">
        <v>185</v>
      </c>
      <c r="D16" s="25">
        <v>100</v>
      </c>
      <c r="E16" s="25">
        <v>89</v>
      </c>
    </row>
    <row r="17" spans="2:5" x14ac:dyDescent="0.25">
      <c r="B17" s="16" t="s">
        <v>213</v>
      </c>
      <c r="C17" s="25">
        <v>228</v>
      </c>
      <c r="D17" s="25">
        <v>100</v>
      </c>
      <c r="E17" s="25">
        <v>76</v>
      </c>
    </row>
  </sheetData>
  <sortState xmlns:xlrd2="http://schemas.microsoft.com/office/spreadsheetml/2017/richdata2" ref="B4:E17">
    <sortCondition ref="B4:B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pageSetUpPr fitToPage="1"/>
  </sheetPr>
  <dimension ref="A2:W115"/>
  <sheetViews>
    <sheetView showGridLines="0" tabSelected="1" topLeftCell="D1" zoomScale="118" zoomScaleNormal="118" zoomScaleSheetLayoutView="80" workbookViewId="0">
      <selection activeCell="J10" sqref="J10:J15"/>
    </sheetView>
  </sheetViews>
  <sheetFormatPr defaultRowHeight="15" x14ac:dyDescent="0.25"/>
  <cols>
    <col min="1" max="1" width="14.42578125" customWidth="1"/>
    <col min="2" max="2" width="58.140625" customWidth="1"/>
    <col min="3" max="8" width="18.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338" t="s">
        <v>12</v>
      </c>
      <c r="C2" s="338"/>
      <c r="D2" s="338"/>
      <c r="E2" s="338"/>
      <c r="F2" s="338"/>
      <c r="G2" s="338"/>
      <c r="H2" s="338"/>
      <c r="I2" s="338"/>
      <c r="J2" s="338"/>
      <c r="K2" s="338"/>
      <c r="L2" s="338"/>
      <c r="M2" s="338"/>
      <c r="N2" s="338"/>
      <c r="O2" s="338"/>
    </row>
    <row r="3" spans="1:15" ht="21" x14ac:dyDescent="0.35">
      <c r="B3" s="339" t="s">
        <v>13</v>
      </c>
      <c r="C3" s="340"/>
      <c r="D3" s="340"/>
      <c r="E3" s="340"/>
      <c r="F3" s="340"/>
      <c r="G3" s="340"/>
      <c r="H3" s="340"/>
      <c r="I3" s="340"/>
      <c r="J3" s="340"/>
      <c r="K3" s="340"/>
      <c r="L3" s="340"/>
      <c r="M3" s="340"/>
      <c r="N3" s="340"/>
      <c r="O3" s="341"/>
    </row>
    <row r="4" spans="1:15" ht="21" x14ac:dyDescent="0.35">
      <c r="B4" s="345" t="s">
        <v>14</v>
      </c>
      <c r="C4" s="346"/>
      <c r="D4" s="346"/>
      <c r="E4" s="346"/>
      <c r="F4" s="346"/>
      <c r="G4" s="346"/>
      <c r="H4" s="346"/>
      <c r="I4" s="346"/>
      <c r="J4" s="346"/>
      <c r="K4" s="346"/>
      <c r="L4" s="346"/>
      <c r="M4" s="346"/>
      <c r="N4" s="346"/>
      <c r="O4" s="347"/>
    </row>
    <row r="6" spans="1:15" ht="18.75" x14ac:dyDescent="0.3">
      <c r="B6" s="342" t="s">
        <v>15</v>
      </c>
      <c r="C6" s="343"/>
      <c r="D6" s="343"/>
      <c r="E6" s="343"/>
      <c r="F6" s="343"/>
      <c r="G6" s="343"/>
      <c r="H6" s="343"/>
      <c r="I6" s="343"/>
      <c r="J6" s="343"/>
      <c r="K6" s="343"/>
      <c r="L6" s="343"/>
      <c r="M6" s="343"/>
      <c r="N6" s="343"/>
      <c r="O6" s="344"/>
    </row>
    <row r="7" spans="1:15" s="56" customFormat="1" ht="18.75" x14ac:dyDescent="0.3">
      <c r="B7" s="55"/>
      <c r="C7" s="55"/>
      <c r="D7" s="55"/>
      <c r="E7" s="55"/>
      <c r="F7" s="55"/>
      <c r="G7" s="55"/>
      <c r="H7" s="55"/>
      <c r="I7" s="55"/>
      <c r="J7" s="55"/>
      <c r="K7" s="55"/>
      <c r="L7" s="55"/>
      <c r="M7" s="55"/>
      <c r="N7" s="55"/>
      <c r="O7" s="55"/>
    </row>
    <row r="8" spans="1:15" ht="18.75" x14ac:dyDescent="0.3">
      <c r="B8" s="96" t="s">
        <v>16</v>
      </c>
      <c r="C8" s="4"/>
    </row>
    <row r="9" spans="1:15" ht="22.15" customHeight="1" x14ac:dyDescent="0.3">
      <c r="B9" s="4"/>
      <c r="C9" s="4"/>
      <c r="E9" s="83"/>
      <c r="F9" s="83"/>
      <c r="G9" s="83"/>
      <c r="H9" s="83"/>
      <c r="I9" s="83"/>
      <c r="K9" s="28"/>
    </row>
    <row r="10" spans="1:15" s="103" customFormat="1" ht="30" x14ac:dyDescent="0.25">
      <c r="B10" s="101" t="s">
        <v>17</v>
      </c>
      <c r="C10" s="101" t="s">
        <v>18</v>
      </c>
      <c r="D10" s="101" t="s">
        <v>19</v>
      </c>
      <c r="E10" s="101" t="s">
        <v>20</v>
      </c>
      <c r="F10" s="101" t="s">
        <v>21</v>
      </c>
      <c r="G10" s="101" t="s">
        <v>218</v>
      </c>
      <c r="H10" s="101" t="s">
        <v>239</v>
      </c>
      <c r="I10" s="102"/>
      <c r="J10" s="104"/>
    </row>
    <row r="11" spans="1:15" x14ac:dyDescent="0.25">
      <c r="B11" s="5" t="s">
        <v>22</v>
      </c>
      <c r="C11" s="88">
        <f>SUM(D11:H11)</f>
        <v>247487684</v>
      </c>
      <c r="D11" s="94">
        <f>79012357+13399750+3</f>
        <v>92412110</v>
      </c>
      <c r="E11" s="95">
        <f>4141706.69+4682362+14571344.49+569658-0.18</f>
        <v>23965071</v>
      </c>
      <c r="F11" s="95">
        <f>87309623+12346157+15929523+5785257+4033179+291018+3872490+1216599</f>
        <v>130783846</v>
      </c>
      <c r="G11" s="95">
        <f>208279-8081366+4829419</f>
        <v>-3043668</v>
      </c>
      <c r="H11" s="95">
        <v>3370325</v>
      </c>
      <c r="J11" s="331"/>
      <c r="K11" s="14"/>
      <c r="L11" s="14"/>
    </row>
    <row r="12" spans="1:15" ht="14.45" customHeight="1" x14ac:dyDescent="0.25">
      <c r="A12" s="348"/>
      <c r="B12" s="8" t="s">
        <v>57</v>
      </c>
      <c r="C12" s="88">
        <f>SUM(D12:H12)</f>
        <v>4534318</v>
      </c>
      <c r="D12" s="89"/>
      <c r="E12" s="90"/>
      <c r="F12" s="91">
        <v>4427806</v>
      </c>
      <c r="G12" s="91">
        <f>178498-159069+87083</f>
        <v>106512</v>
      </c>
      <c r="H12" s="91"/>
      <c r="J12" s="415"/>
      <c r="K12" s="14"/>
      <c r="L12" s="333"/>
      <c r="M12" s="23"/>
    </row>
    <row r="13" spans="1:15" x14ac:dyDescent="0.25">
      <c r="A13" s="348"/>
      <c r="B13" s="8" t="s">
        <v>58</v>
      </c>
      <c r="C13" s="88">
        <f>SUM(D13:H13)</f>
        <v>65192</v>
      </c>
      <c r="D13" s="89"/>
      <c r="E13" s="90"/>
      <c r="F13" s="91"/>
      <c r="G13" s="91"/>
      <c r="H13" s="92">
        <f>13033+52159</f>
        <v>65192</v>
      </c>
      <c r="J13" s="415"/>
      <c r="K13" s="14"/>
      <c r="L13" s="333"/>
      <c r="M13" s="23"/>
    </row>
    <row r="14" spans="1:15" x14ac:dyDescent="0.25">
      <c r="A14" s="348"/>
      <c r="B14" s="8" t="s">
        <v>59</v>
      </c>
      <c r="C14" s="88">
        <f>SUM(D14:H14)</f>
        <v>11631953</v>
      </c>
      <c r="D14" s="89">
        <f>10977026-4</f>
        <v>10977022</v>
      </c>
      <c r="E14" s="90">
        <f>4348216-2016514+124545</f>
        <v>2456247</v>
      </c>
      <c r="F14" s="91">
        <v>-1354380</v>
      </c>
      <c r="G14" s="91">
        <f>-40213-406723</f>
        <v>-446936</v>
      </c>
      <c r="H14" s="91"/>
      <c r="J14" s="415"/>
      <c r="K14" s="14"/>
      <c r="L14" s="333"/>
      <c r="M14" s="23"/>
    </row>
    <row r="15" spans="1:15" x14ac:dyDescent="0.25">
      <c r="A15" s="348"/>
      <c r="B15" s="8" t="s">
        <v>60</v>
      </c>
      <c r="C15" s="88">
        <f t="shared" ref="C15:C19" si="0">SUM(D15:H15)</f>
        <v>914588</v>
      </c>
      <c r="D15" s="89"/>
      <c r="E15" s="90">
        <v>914588</v>
      </c>
      <c r="F15" s="91"/>
      <c r="G15" s="91"/>
      <c r="H15" s="91"/>
      <c r="J15" s="416"/>
      <c r="K15" s="14"/>
      <c r="L15" s="333"/>
      <c r="M15" s="23"/>
    </row>
    <row r="16" spans="1:15" x14ac:dyDescent="0.25">
      <c r="A16" s="348"/>
      <c r="B16" s="10" t="s">
        <v>25</v>
      </c>
      <c r="C16" s="88">
        <f t="shared" si="0"/>
        <v>0</v>
      </c>
      <c r="D16" s="89"/>
      <c r="E16" s="90"/>
      <c r="F16" s="92"/>
      <c r="G16" s="92"/>
      <c r="H16" s="92"/>
      <c r="J16" s="332"/>
      <c r="K16" s="14"/>
      <c r="L16" s="333"/>
      <c r="M16" s="23"/>
    </row>
    <row r="17" spans="1:23" x14ac:dyDescent="0.25">
      <c r="A17" s="348"/>
      <c r="B17" s="10" t="s">
        <v>26</v>
      </c>
      <c r="C17" s="88">
        <f t="shared" si="0"/>
        <v>3083499</v>
      </c>
      <c r="D17" s="89">
        <v>209334</v>
      </c>
      <c r="E17" s="90">
        <f>2413056+1851853+92425</f>
        <v>4357334</v>
      </c>
      <c r="F17" s="91">
        <f>-9269050</f>
        <v>-9269050</v>
      </c>
      <c r="G17" s="91">
        <v>7785881</v>
      </c>
      <c r="H17" s="91"/>
      <c r="J17" s="332"/>
      <c r="K17" s="14"/>
      <c r="L17" s="333"/>
      <c r="M17" s="23"/>
    </row>
    <row r="18" spans="1:23" x14ac:dyDescent="0.25">
      <c r="A18" s="348"/>
      <c r="B18" s="10" t="s">
        <v>27</v>
      </c>
      <c r="C18" s="88">
        <f t="shared" si="0"/>
        <v>4795417</v>
      </c>
      <c r="D18" s="89">
        <v>6878556</v>
      </c>
      <c r="E18" s="90">
        <f>-3169408+2325222-181005</f>
        <v>-1025191</v>
      </c>
      <c r="F18" s="91">
        <v>561228</v>
      </c>
      <c r="G18" s="91">
        <v>-1619176</v>
      </c>
      <c r="H18" s="91"/>
      <c r="J18" s="332"/>
      <c r="K18" s="14"/>
      <c r="L18" s="333"/>
      <c r="M18" s="23"/>
    </row>
    <row r="19" spans="1:23" x14ac:dyDescent="0.25">
      <c r="A19" s="348"/>
      <c r="B19" s="10" t="s">
        <v>61</v>
      </c>
      <c r="C19" s="88">
        <f t="shared" si="0"/>
        <v>-2310540</v>
      </c>
      <c r="D19" s="89"/>
      <c r="E19" s="90"/>
      <c r="F19" s="91"/>
      <c r="G19" s="91">
        <v>-2310540</v>
      </c>
      <c r="H19" s="91"/>
      <c r="K19" s="14"/>
      <c r="L19" s="22"/>
      <c r="M19" s="23"/>
    </row>
    <row r="20" spans="1:23" x14ac:dyDescent="0.25">
      <c r="B20" s="87" t="s">
        <v>266</v>
      </c>
      <c r="C20" s="88">
        <f>SUM(D20:H20)</f>
        <v>159260</v>
      </c>
      <c r="D20" s="89"/>
      <c r="E20" s="90"/>
      <c r="F20" s="92"/>
      <c r="G20" s="92">
        <v>159260</v>
      </c>
      <c r="H20" s="92"/>
      <c r="O20" s="22"/>
      <c r="P20" s="23"/>
    </row>
    <row r="21" spans="1:23" x14ac:dyDescent="0.25">
      <c r="B21" s="87" t="s">
        <v>28</v>
      </c>
      <c r="C21" s="88">
        <f>SUM(D21:H21)</f>
        <v>0</v>
      </c>
      <c r="D21" s="89"/>
      <c r="E21" s="90"/>
      <c r="F21" s="92"/>
      <c r="G21" s="92"/>
      <c r="H21" s="92"/>
      <c r="O21" s="22"/>
      <c r="P21" s="23"/>
    </row>
    <row r="22" spans="1:23" x14ac:dyDescent="0.25">
      <c r="B22" s="87" t="s">
        <v>28</v>
      </c>
      <c r="C22" s="88">
        <f>SUM(D22:H22)</f>
        <v>0</v>
      </c>
      <c r="D22" s="89"/>
      <c r="E22" s="90"/>
      <c r="F22" s="92"/>
      <c r="G22" s="92"/>
      <c r="H22" s="92"/>
      <c r="O22" s="22"/>
      <c r="P22" s="23"/>
    </row>
    <row r="23" spans="1:23" x14ac:dyDescent="0.25">
      <c r="B23" s="11" t="s">
        <v>29</v>
      </c>
      <c r="C23" s="6">
        <f t="shared" ref="C23:H23" si="1">SUM(C11:C22)</f>
        <v>270361371</v>
      </c>
      <c r="D23" s="52">
        <f t="shared" si="1"/>
        <v>110477022</v>
      </c>
      <c r="E23" s="52">
        <f t="shared" si="1"/>
        <v>30668049</v>
      </c>
      <c r="F23" s="52">
        <f t="shared" si="1"/>
        <v>125149450</v>
      </c>
      <c r="G23" s="52">
        <f t="shared" si="1"/>
        <v>631333</v>
      </c>
      <c r="H23" s="52">
        <f t="shared" si="1"/>
        <v>3435517</v>
      </c>
      <c r="O23" s="22"/>
      <c r="P23" s="23"/>
    </row>
    <row r="24" spans="1:23" x14ac:dyDescent="0.25">
      <c r="C24" s="311"/>
      <c r="D24" s="314"/>
      <c r="E24" s="315"/>
      <c r="O24" s="22"/>
      <c r="P24" s="23"/>
    </row>
    <row r="25" spans="1:23" x14ac:dyDescent="0.25">
      <c r="B25" s="29" t="s">
        <v>30</v>
      </c>
      <c r="C25" s="64">
        <f t="shared" ref="C25:H25" si="2">+C23-C11</f>
        <v>22873687</v>
      </c>
      <c r="D25" s="19">
        <f t="shared" si="2"/>
        <v>18064912</v>
      </c>
      <c r="E25" s="19">
        <f t="shared" si="2"/>
        <v>6702978</v>
      </c>
      <c r="F25" s="19">
        <f t="shared" si="2"/>
        <v>-5634396</v>
      </c>
      <c r="G25" s="19">
        <f t="shared" si="2"/>
        <v>3675001</v>
      </c>
      <c r="H25" s="19">
        <f t="shared" si="2"/>
        <v>65192</v>
      </c>
      <c r="O25" s="22"/>
      <c r="P25" s="23"/>
    </row>
    <row r="26" spans="1:23" x14ac:dyDescent="0.25">
      <c r="B26" s="53" t="s">
        <v>31</v>
      </c>
      <c r="C26" s="54">
        <f>(C25)/C11</f>
        <v>9.2423536518285901E-2</v>
      </c>
      <c r="D26" s="54">
        <f t="shared" ref="D26:H26" si="3">(D25)/D11</f>
        <v>0.19548208562708935</v>
      </c>
      <c r="E26" s="54">
        <f t="shared" si="3"/>
        <v>0.27969781520780806</v>
      </c>
      <c r="F26" s="54">
        <f t="shared" si="3"/>
        <v>-4.3081742679443757E-2</v>
      </c>
      <c r="G26" s="54">
        <f t="shared" si="3"/>
        <v>-1.2074250542437612</v>
      </c>
      <c r="H26" s="54">
        <f t="shared" si="3"/>
        <v>1.9342941704435034E-2</v>
      </c>
      <c r="O26" s="22"/>
      <c r="P26" s="23"/>
    </row>
    <row r="27" spans="1:23" x14ac:dyDescent="0.25">
      <c r="B27" s="210"/>
      <c r="C27" s="59"/>
      <c r="D27" s="59"/>
      <c r="E27" s="59"/>
      <c r="F27" s="59"/>
      <c r="G27" s="59"/>
      <c r="H27" s="59"/>
      <c r="O27" s="22"/>
      <c r="P27" s="23"/>
    </row>
    <row r="28" spans="1:23" x14ac:dyDescent="0.25">
      <c r="B28" s="29" t="s">
        <v>32</v>
      </c>
      <c r="C28" s="64">
        <f>'5. Vaccine Clinics and Testing'!D23</f>
        <v>479303</v>
      </c>
      <c r="D28" s="59"/>
      <c r="E28" s="59"/>
      <c r="F28" s="59"/>
      <c r="G28" s="59"/>
      <c r="H28" s="59"/>
      <c r="O28" s="22"/>
      <c r="P28" s="23"/>
    </row>
    <row r="29" spans="1:23" ht="30" x14ac:dyDescent="0.25">
      <c r="B29" s="211" t="s">
        <v>33</v>
      </c>
      <c r="C29" s="212">
        <f>C23-C28</f>
        <v>269882068</v>
      </c>
      <c r="D29" s="15"/>
      <c r="E29" s="15"/>
      <c r="K29" s="23"/>
      <c r="L29" s="23"/>
      <c r="M29" s="14"/>
      <c r="N29" s="24"/>
      <c r="V29" s="22"/>
      <c r="W29" s="23"/>
    </row>
    <row r="30" spans="1:23" x14ac:dyDescent="0.25">
      <c r="B30" s="210"/>
      <c r="C30" s="59"/>
      <c r="D30" s="15"/>
      <c r="E30" s="15"/>
      <c r="K30" s="23"/>
      <c r="L30" s="23"/>
      <c r="M30" s="14"/>
      <c r="N30" s="24"/>
      <c r="V30" s="22"/>
      <c r="W30" s="23"/>
    </row>
    <row r="31" spans="1:23" x14ac:dyDescent="0.25">
      <c r="B31" s="29" t="s">
        <v>34</v>
      </c>
      <c r="C31" s="64">
        <f>C29-C11</f>
        <v>22394384</v>
      </c>
      <c r="D31" s="15"/>
      <c r="E31" s="15"/>
      <c r="O31" s="22"/>
      <c r="P31" s="23"/>
    </row>
    <row r="32" spans="1:23" x14ac:dyDescent="0.25">
      <c r="B32" s="53" t="s">
        <v>35</v>
      </c>
      <c r="C32" s="54">
        <f>(C31)/C11</f>
        <v>9.0486862368472448E-2</v>
      </c>
      <c r="D32" s="15"/>
      <c r="E32" s="15"/>
      <c r="O32" s="22"/>
      <c r="P32" s="23"/>
    </row>
    <row r="33" spans="2:23" x14ac:dyDescent="0.25">
      <c r="B33" s="210"/>
      <c r="C33" s="59"/>
      <c r="D33" s="59"/>
      <c r="E33" s="59"/>
      <c r="F33" s="59"/>
      <c r="G33" s="59"/>
      <c r="H33" s="59"/>
      <c r="O33" s="22"/>
      <c r="P33" s="23"/>
    </row>
    <row r="34" spans="2:23" ht="28.15" customHeight="1" x14ac:dyDescent="0.3">
      <c r="B34" s="96" t="s">
        <v>36</v>
      </c>
      <c r="C34" s="4"/>
      <c r="D34" s="15"/>
      <c r="E34" s="15"/>
      <c r="V34" s="22"/>
      <c r="W34" s="23"/>
    </row>
    <row r="35" spans="2:23" ht="18.75" x14ac:dyDescent="0.3">
      <c r="B35" s="96"/>
      <c r="C35" s="4"/>
      <c r="D35" s="15"/>
      <c r="E35" s="15"/>
      <c r="V35" s="22"/>
      <c r="W35" s="23"/>
    </row>
    <row r="36" spans="2:23" s="86" customFormat="1" x14ac:dyDescent="0.25">
      <c r="B36" s="98" t="s">
        <v>37</v>
      </c>
      <c r="C36" s="98" t="s">
        <v>38</v>
      </c>
      <c r="D36" s="98" t="s">
        <v>39</v>
      </c>
      <c r="E36" s="50"/>
      <c r="V36" s="99"/>
      <c r="W36" s="100"/>
    </row>
    <row r="37" spans="2:23" x14ac:dyDescent="0.25">
      <c r="B37" s="5" t="s">
        <v>40</v>
      </c>
      <c r="C37" s="88">
        <v>266770898</v>
      </c>
      <c r="D37" s="7"/>
      <c r="E37" s="59"/>
      <c r="V37" s="22"/>
      <c r="W37" s="23"/>
    </row>
    <row r="38" spans="2:23" x14ac:dyDescent="0.25">
      <c r="B38" s="8" t="s">
        <v>41</v>
      </c>
      <c r="C38" s="287">
        <v>1098637</v>
      </c>
      <c r="D38" s="279">
        <f>+C38/C$37</f>
        <v>4.1182790485639852E-3</v>
      </c>
      <c r="E38" s="51"/>
      <c r="V38" s="22"/>
    </row>
    <row r="39" spans="2:23" x14ac:dyDescent="0.25">
      <c r="B39" s="10" t="s">
        <v>42</v>
      </c>
      <c r="C39" s="270">
        <f>'4. Inflation'!D16</f>
        <v>9327993.8100000005</v>
      </c>
      <c r="D39" s="279">
        <f t="shared" ref="D39:D49" si="4">+C39/C$37</f>
        <v>3.496630959348497E-2</v>
      </c>
      <c r="E39" s="271" t="s">
        <v>240</v>
      </c>
      <c r="V39" s="22"/>
    </row>
    <row r="40" spans="2:23" x14ac:dyDescent="0.25">
      <c r="B40" s="10" t="s">
        <v>43</v>
      </c>
      <c r="C40" s="287">
        <f>959310-115000</f>
        <v>844310</v>
      </c>
      <c r="D40" s="279">
        <f t="shared" si="4"/>
        <v>3.1649254335081181E-3</v>
      </c>
      <c r="E40" s="51"/>
      <c r="V40" s="22"/>
    </row>
    <row r="41" spans="2:23" x14ac:dyDescent="0.25">
      <c r="B41" s="10" t="s">
        <v>44</v>
      </c>
      <c r="C41" s="287">
        <f>4043021-612000</f>
        <v>3431021</v>
      </c>
      <c r="D41" s="279">
        <f t="shared" si="4"/>
        <v>1.2861301685163574E-2</v>
      </c>
      <c r="E41" s="299"/>
      <c r="F41" s="286"/>
      <c r="G41" s="286"/>
      <c r="V41" s="22"/>
    </row>
    <row r="42" spans="2:23" x14ac:dyDescent="0.25">
      <c r="B42" s="10" t="s">
        <v>45</v>
      </c>
      <c r="C42" s="93">
        <f>4864681-333700-1042800</f>
        <v>3488181</v>
      </c>
      <c r="D42" s="279">
        <f t="shared" si="4"/>
        <v>1.307556793544999E-2</v>
      </c>
      <c r="E42" s="51"/>
      <c r="V42" s="22"/>
    </row>
    <row r="43" spans="2:23" x14ac:dyDescent="0.25">
      <c r="B43" s="10" t="s">
        <v>46</v>
      </c>
      <c r="C43" s="93">
        <v>-328628</v>
      </c>
      <c r="D43" s="279">
        <f t="shared" si="4"/>
        <v>-1.2318735006844712E-3</v>
      </c>
      <c r="E43" s="280"/>
      <c r="V43" s="22"/>
    </row>
    <row r="44" spans="2:23" x14ac:dyDescent="0.25">
      <c r="B44" s="10" t="s">
        <v>47</v>
      </c>
      <c r="C44" s="93">
        <v>1898338</v>
      </c>
      <c r="D44" s="279">
        <f t="shared" si="4"/>
        <v>7.1159860923060659E-3</v>
      </c>
      <c r="E44" s="51"/>
    </row>
    <row r="45" spans="2:23" x14ac:dyDescent="0.25">
      <c r="B45" s="10" t="s">
        <v>48</v>
      </c>
      <c r="C45" s="93">
        <v>1644884</v>
      </c>
      <c r="D45" s="279">
        <f t="shared" si="4"/>
        <v>6.16590494814768E-3</v>
      </c>
      <c r="E45" s="51"/>
    </row>
    <row r="46" spans="2:23" x14ac:dyDescent="0.25">
      <c r="B46" s="10" t="s">
        <v>49</v>
      </c>
      <c r="C46" s="287">
        <f>-808000-400000</f>
        <v>-1208000</v>
      </c>
      <c r="D46" s="279">
        <f>+C46/C$37</f>
        <v>-4.5282300620362271E-3</v>
      </c>
      <c r="E46" s="285"/>
      <c r="F46" s="286"/>
      <c r="G46" s="286"/>
    </row>
    <row r="47" spans="2:23" x14ac:dyDescent="0.25">
      <c r="B47" s="87" t="s">
        <v>251</v>
      </c>
      <c r="C47" s="300">
        <f>12712258-12668835</f>
        <v>43423</v>
      </c>
      <c r="D47" s="279">
        <f t="shared" ref="D47:D48" si="5">+C47/C$37</f>
        <v>1.6277262747003236E-4</v>
      </c>
      <c r="E47" s="51"/>
    </row>
    <row r="48" spans="2:23" x14ac:dyDescent="0.25">
      <c r="B48" s="87" t="s">
        <v>252</v>
      </c>
      <c r="C48" s="93">
        <f>1562040-1434557</f>
        <v>127483</v>
      </c>
      <c r="D48" s="279">
        <f t="shared" si="5"/>
        <v>4.7787446440278504E-4</v>
      </c>
      <c r="E48" s="51"/>
    </row>
    <row r="49" spans="2:23" x14ac:dyDescent="0.25">
      <c r="B49" s="87" t="s">
        <v>253</v>
      </c>
      <c r="C49" s="287">
        <f>1534099-666660</f>
        <v>867439</v>
      </c>
      <c r="D49" s="279">
        <f t="shared" si="4"/>
        <v>3.2516252953498697E-3</v>
      </c>
      <c r="E49" s="288"/>
    </row>
    <row r="50" spans="2:23" x14ac:dyDescent="0.25">
      <c r="B50" s="87" t="s">
        <v>254</v>
      </c>
      <c r="C50" s="93">
        <v>1171979</v>
      </c>
      <c r="D50" s="279">
        <f t="shared" ref="D50:D52" si="6">+C50/C$37</f>
        <v>4.3932040893006254E-3</v>
      </c>
      <c r="E50" s="51"/>
    </row>
    <row r="51" spans="2:23" x14ac:dyDescent="0.25">
      <c r="B51" s="87" t="s">
        <v>263</v>
      </c>
      <c r="C51" s="93">
        <v>1402820</v>
      </c>
      <c r="D51" s="279">
        <f t="shared" si="6"/>
        <v>5.2585196155841554E-3</v>
      </c>
      <c r="E51" s="51"/>
    </row>
    <row r="52" spans="2:23" x14ac:dyDescent="0.25">
      <c r="B52" s="87" t="s">
        <v>50</v>
      </c>
      <c r="C52" s="93">
        <v>404962.19</v>
      </c>
      <c r="D52" s="279">
        <f t="shared" si="6"/>
        <v>1.5180148698228696E-3</v>
      </c>
      <c r="E52" s="280"/>
    </row>
    <row r="53" spans="2:23" x14ac:dyDescent="0.25">
      <c r="B53" s="11" t="s">
        <v>51</v>
      </c>
      <c r="C53" s="12">
        <f>SUM(C37:C52)</f>
        <v>290985741</v>
      </c>
      <c r="D53" s="13">
        <f>SUM(D38:D52)</f>
        <v>9.0770182135834002E-2</v>
      </c>
      <c r="E53" s="77"/>
    </row>
    <row r="54" spans="2:23" x14ac:dyDescent="0.25">
      <c r="B54" s="84"/>
      <c r="C54" s="85"/>
      <c r="D54" s="77"/>
      <c r="E54" s="278">
        <f>290985741-C53</f>
        <v>0</v>
      </c>
    </row>
    <row r="55" spans="2:23" x14ac:dyDescent="0.25">
      <c r="B55" s="29" t="s">
        <v>30</v>
      </c>
      <c r="C55" s="64">
        <f>+C53-C37</f>
        <v>24214843</v>
      </c>
      <c r="D55" s="77"/>
      <c r="E55" s="77"/>
    </row>
    <row r="56" spans="2:23" x14ac:dyDescent="0.25">
      <c r="B56" s="53" t="s">
        <v>31</v>
      </c>
      <c r="C56" s="318">
        <f>(C55)/C37</f>
        <v>9.0770182135834016E-2</v>
      </c>
      <c r="D56" s="77"/>
      <c r="E56" s="77"/>
    </row>
    <row r="57" spans="2:23" x14ac:dyDescent="0.25">
      <c r="B57" s="210"/>
      <c r="C57" s="59"/>
      <c r="D57" s="59"/>
      <c r="E57" s="59"/>
      <c r="F57" s="59"/>
      <c r="G57" s="59"/>
      <c r="H57" s="59"/>
      <c r="O57" s="22"/>
      <c r="P57" s="23"/>
    </row>
    <row r="58" spans="2:23" x14ac:dyDescent="0.25">
      <c r="B58" s="29" t="s">
        <v>32</v>
      </c>
      <c r="C58" s="64">
        <f>'5. Vaccine Clinics and Testing'!D36</f>
        <v>359130</v>
      </c>
      <c r="D58" s="59"/>
      <c r="E58" s="59"/>
      <c r="F58" s="59"/>
      <c r="G58" s="59"/>
      <c r="H58" s="59"/>
      <c r="O58" s="22"/>
      <c r="P58" s="23"/>
    </row>
    <row r="59" spans="2:23" ht="30" x14ac:dyDescent="0.25">
      <c r="B59" s="211" t="s">
        <v>33</v>
      </c>
      <c r="C59" s="212">
        <f>C53-C58</f>
        <v>290626611</v>
      </c>
      <c r="D59" s="15"/>
      <c r="E59" s="15"/>
      <c r="K59" s="23"/>
      <c r="L59" s="23"/>
      <c r="M59" s="14"/>
      <c r="N59" s="24"/>
      <c r="V59" s="22"/>
      <c r="W59" s="23"/>
    </row>
    <row r="60" spans="2:23" x14ac:dyDescent="0.25">
      <c r="B60" s="210"/>
      <c r="C60" s="59"/>
      <c r="D60" s="15"/>
      <c r="E60" s="15"/>
      <c r="K60" s="23"/>
      <c r="L60" s="23"/>
      <c r="M60" s="14"/>
      <c r="N60" s="24"/>
      <c r="V60" s="22"/>
      <c r="W60" s="23"/>
    </row>
    <row r="61" spans="2:23" x14ac:dyDescent="0.25">
      <c r="B61" s="29" t="s">
        <v>34</v>
      </c>
      <c r="C61" s="64">
        <f>C59-C37</f>
        <v>23855713</v>
      </c>
      <c r="D61" s="15"/>
      <c r="E61" s="15"/>
      <c r="O61" s="22"/>
      <c r="P61" s="23"/>
    </row>
    <row r="62" spans="2:23" x14ac:dyDescent="0.25">
      <c r="B62" s="53" t="s">
        <v>35</v>
      </c>
      <c r="C62" s="318">
        <f>(C61)/C37</f>
        <v>8.9423970826083138E-2</v>
      </c>
      <c r="D62" s="15"/>
      <c r="E62" s="15"/>
      <c r="O62" s="22"/>
      <c r="P62" s="23"/>
    </row>
    <row r="63" spans="2:23" x14ac:dyDescent="0.25">
      <c r="B63" s="210"/>
      <c r="C63" s="59"/>
      <c r="D63" s="59"/>
      <c r="E63" s="59"/>
      <c r="F63" s="59"/>
      <c r="G63" s="59"/>
      <c r="H63" s="59"/>
      <c r="O63" s="22"/>
      <c r="P63" s="23"/>
    </row>
    <row r="65" spans="1:23" ht="18.75" x14ac:dyDescent="0.3">
      <c r="B65" s="342" t="s">
        <v>52</v>
      </c>
      <c r="C65" s="343"/>
      <c r="D65" s="343"/>
      <c r="E65" s="343"/>
      <c r="F65" s="343"/>
      <c r="G65" s="343"/>
      <c r="H65" s="343"/>
      <c r="I65" s="343"/>
      <c r="J65" s="343"/>
      <c r="K65" s="343"/>
      <c r="L65" s="343"/>
      <c r="M65" s="343"/>
      <c r="N65" s="343"/>
      <c r="O65" s="344"/>
      <c r="V65" s="22"/>
      <c r="W65" s="23"/>
    </row>
    <row r="66" spans="1:23" x14ac:dyDescent="0.25">
      <c r="B66" s="17"/>
    </row>
    <row r="67" spans="1:23" ht="18.75" x14ac:dyDescent="0.3">
      <c r="B67" s="96" t="s">
        <v>53</v>
      </c>
      <c r="C67" s="4"/>
    </row>
    <row r="68" spans="1:23" ht="18.75" x14ac:dyDescent="0.3">
      <c r="B68" s="96"/>
      <c r="C68" s="4"/>
    </row>
    <row r="69" spans="1:23" ht="18.75" x14ac:dyDescent="0.3">
      <c r="B69" s="96" t="s">
        <v>54</v>
      </c>
      <c r="C69" s="235" t="s">
        <v>55</v>
      </c>
    </row>
    <row r="70" spans="1:23" s="86" customFormat="1" ht="30" x14ac:dyDescent="0.25">
      <c r="B70" s="97" t="s">
        <v>17</v>
      </c>
      <c r="C70" s="97" t="s">
        <v>18</v>
      </c>
      <c r="D70" s="97" t="s">
        <v>19</v>
      </c>
      <c r="E70" s="97" t="s">
        <v>20</v>
      </c>
      <c r="F70" s="97" t="s">
        <v>21</v>
      </c>
      <c r="G70" s="97" t="s">
        <v>218</v>
      </c>
      <c r="H70" s="97" t="s">
        <v>239</v>
      </c>
      <c r="J70" s="50"/>
    </row>
    <row r="71" spans="1:23" x14ac:dyDescent="0.25">
      <c r="B71" s="5" t="s">
        <v>56</v>
      </c>
      <c r="C71" s="88">
        <f>SUM(D71:H71)</f>
        <v>266868817</v>
      </c>
      <c r="D71" s="94">
        <v>109878171</v>
      </c>
      <c r="E71" s="95">
        <v>32045937</v>
      </c>
      <c r="F71" s="95">
        <v>107587600</v>
      </c>
      <c r="G71" s="95">
        <v>13973751</v>
      </c>
      <c r="H71" s="95">
        <v>3383358</v>
      </c>
      <c r="J71" s="331"/>
      <c r="K71" s="14"/>
    </row>
    <row r="72" spans="1:23" ht="14.45" customHeight="1" x14ac:dyDescent="0.25">
      <c r="A72" s="337"/>
      <c r="B72" s="8" t="s">
        <v>57</v>
      </c>
      <c r="C72" s="88">
        <f>SUM(D72:H72)</f>
        <v>4534318</v>
      </c>
      <c r="D72" s="89"/>
      <c r="E72" s="90"/>
      <c r="F72" s="91">
        <f>4005386</f>
        <v>4005386</v>
      </c>
      <c r="G72" s="91">
        <f>600918-159069+87083</f>
        <v>528932</v>
      </c>
      <c r="H72" s="91"/>
      <c r="J72" s="415"/>
      <c r="K72" s="14"/>
      <c r="L72" s="22"/>
      <c r="M72" s="23"/>
    </row>
    <row r="73" spans="1:23" x14ac:dyDescent="0.25">
      <c r="A73" s="337"/>
      <c r="B73" s="8" t="s">
        <v>58</v>
      </c>
      <c r="C73" s="88">
        <f>SUM(D73:H73)</f>
        <v>52159</v>
      </c>
      <c r="D73" s="89"/>
      <c r="E73" s="90"/>
      <c r="F73" s="91"/>
      <c r="G73" s="91"/>
      <c r="H73" s="91">
        <v>52159</v>
      </c>
      <c r="J73" s="415"/>
      <c r="K73" s="14"/>
      <c r="L73" s="22"/>
      <c r="M73" s="23"/>
    </row>
    <row r="74" spans="1:23" x14ac:dyDescent="0.25">
      <c r="A74" s="337"/>
      <c r="B74" s="8" t="s">
        <v>59</v>
      </c>
      <c r="C74" s="88">
        <f>SUM(D74:H74)</f>
        <v>-431353</v>
      </c>
      <c r="D74" s="89">
        <f>-141096-1</f>
        <v>-141097</v>
      </c>
      <c r="E74" s="90">
        <v>339101</v>
      </c>
      <c r="F74" s="91">
        <v>-553927</v>
      </c>
      <c r="G74" s="91">
        <v>-75430</v>
      </c>
      <c r="H74" s="91"/>
      <c r="J74" s="415"/>
      <c r="K74" s="14"/>
      <c r="L74" s="22"/>
      <c r="M74" s="23"/>
    </row>
    <row r="75" spans="1:23" x14ac:dyDescent="0.25">
      <c r="A75" s="337"/>
      <c r="B75" s="8" t="s">
        <v>60</v>
      </c>
      <c r="C75" s="88">
        <f t="shared" ref="C75:C82" si="7">SUM(D75:H75)</f>
        <v>0</v>
      </c>
      <c r="D75" s="89"/>
      <c r="E75" s="90"/>
      <c r="F75" s="91"/>
      <c r="G75" s="91"/>
      <c r="H75" s="91"/>
      <c r="J75" s="416"/>
      <c r="K75" s="14"/>
      <c r="L75" s="22"/>
      <c r="M75" s="23"/>
    </row>
    <row r="76" spans="1:23" x14ac:dyDescent="0.25">
      <c r="B76" s="10" t="s">
        <v>25</v>
      </c>
      <c r="C76" s="88">
        <f t="shared" si="7"/>
        <v>0</v>
      </c>
      <c r="D76" s="89"/>
      <c r="E76" s="90"/>
      <c r="F76" s="92"/>
      <c r="G76" s="92"/>
      <c r="H76" s="92"/>
      <c r="J76" s="416"/>
      <c r="K76" s="14"/>
      <c r="L76" s="22"/>
      <c r="M76" s="23"/>
    </row>
    <row r="77" spans="1:23" x14ac:dyDescent="0.25">
      <c r="B77" s="10" t="s">
        <v>26</v>
      </c>
      <c r="C77" s="88">
        <f t="shared" si="7"/>
        <v>0</v>
      </c>
      <c r="D77" s="89"/>
      <c r="E77" s="90"/>
      <c r="F77" s="91"/>
      <c r="G77" s="91"/>
      <c r="H77" s="91"/>
      <c r="J77" s="332"/>
      <c r="K77" s="14"/>
      <c r="L77" s="22"/>
      <c r="M77" s="23"/>
    </row>
    <row r="78" spans="1:23" x14ac:dyDescent="0.25">
      <c r="B78" s="10" t="s">
        <v>27</v>
      </c>
      <c r="C78" s="88">
        <f t="shared" si="7"/>
        <v>-194910</v>
      </c>
      <c r="D78" s="89">
        <v>739949</v>
      </c>
      <c r="E78" s="90">
        <v>-1843177</v>
      </c>
      <c r="F78" s="91">
        <v>-227207</v>
      </c>
      <c r="G78" s="91">
        <v>1135525</v>
      </c>
      <c r="H78" s="91"/>
      <c r="L78" s="22"/>
      <c r="M78" s="23"/>
    </row>
    <row r="79" spans="1:23" x14ac:dyDescent="0.25">
      <c r="B79" s="10" t="s">
        <v>61</v>
      </c>
      <c r="C79" s="88">
        <f t="shared" si="7"/>
        <v>-593846</v>
      </c>
      <c r="D79" s="89"/>
      <c r="E79" s="90"/>
      <c r="F79" s="91"/>
      <c r="G79" s="91">
        <v>-593846</v>
      </c>
      <c r="H79" s="91"/>
      <c r="L79" s="22"/>
      <c r="M79" s="23"/>
    </row>
    <row r="80" spans="1:23" x14ac:dyDescent="0.25">
      <c r="B80" s="87" t="s">
        <v>28</v>
      </c>
      <c r="C80" s="88">
        <f t="shared" si="7"/>
        <v>126186</v>
      </c>
      <c r="D80" s="89"/>
      <c r="E80" s="90">
        <v>126186</v>
      </c>
      <c r="F80" s="92"/>
      <c r="G80" s="92"/>
      <c r="H80" s="92"/>
      <c r="L80" s="22"/>
      <c r="M80" s="23"/>
    </row>
    <row r="81" spans="2:23" x14ac:dyDescent="0.25">
      <c r="B81" s="87" t="s">
        <v>28</v>
      </c>
      <c r="C81" s="88">
        <f t="shared" si="7"/>
        <v>0</v>
      </c>
      <c r="D81" s="89"/>
      <c r="E81" s="90"/>
      <c r="F81" s="92"/>
      <c r="G81" s="92"/>
      <c r="H81" s="92"/>
      <c r="J81" s="14"/>
      <c r="L81" s="22"/>
      <c r="M81" s="23"/>
    </row>
    <row r="82" spans="2:23" x14ac:dyDescent="0.25">
      <c r="B82" s="87" t="s">
        <v>28</v>
      </c>
      <c r="C82" s="88">
        <f t="shared" si="7"/>
        <v>0</v>
      </c>
      <c r="D82" s="89"/>
      <c r="E82" s="90"/>
      <c r="F82" s="92"/>
      <c r="G82" s="92"/>
      <c r="H82" s="92"/>
      <c r="L82" s="22"/>
      <c r="M82" s="23"/>
    </row>
    <row r="83" spans="2:23" x14ac:dyDescent="0.25">
      <c r="B83" s="11" t="s">
        <v>29</v>
      </c>
      <c r="C83" s="6">
        <f t="shared" ref="C83:H83" si="8">SUM(C71:C82)</f>
        <v>270361371</v>
      </c>
      <c r="D83" s="52">
        <f t="shared" si="8"/>
        <v>110477023</v>
      </c>
      <c r="E83" s="52">
        <f t="shared" si="8"/>
        <v>30668047</v>
      </c>
      <c r="F83" s="52">
        <f t="shared" si="8"/>
        <v>110811852</v>
      </c>
      <c r="G83" s="52">
        <f t="shared" si="8"/>
        <v>14968932</v>
      </c>
      <c r="H83" s="52">
        <f t="shared" si="8"/>
        <v>3435517</v>
      </c>
      <c r="L83" s="22"/>
      <c r="M83" s="23"/>
    </row>
    <row r="84" spans="2:23" x14ac:dyDescent="0.25">
      <c r="C84" s="312"/>
      <c r="D84" s="15"/>
      <c r="L84" s="22"/>
      <c r="M84" s="23"/>
    </row>
    <row r="85" spans="2:23" x14ac:dyDescent="0.25">
      <c r="B85" s="29" t="s">
        <v>62</v>
      </c>
      <c r="C85" s="64">
        <f>+C83-C71</f>
        <v>3492554</v>
      </c>
      <c r="D85" s="64">
        <f t="shared" ref="D85:E85" si="9">+D83-D71</f>
        <v>598852</v>
      </c>
      <c r="E85" s="64">
        <f t="shared" si="9"/>
        <v>-1377890</v>
      </c>
      <c r="F85" s="19">
        <f>+F83-F71</f>
        <v>3224252</v>
      </c>
      <c r="G85" s="19">
        <f>+G83-G71</f>
        <v>995181</v>
      </c>
      <c r="H85" s="19">
        <f>+H83-H71</f>
        <v>52159</v>
      </c>
      <c r="L85" s="22"/>
      <c r="M85" s="23"/>
    </row>
    <row r="86" spans="2:23" x14ac:dyDescent="0.25">
      <c r="B86" s="53" t="s">
        <v>63</v>
      </c>
      <c r="C86" s="318">
        <f>(C85)/C71</f>
        <v>1.3087156600990217E-2</v>
      </c>
      <c r="D86" s="318">
        <f t="shared" ref="D86:H86" si="10">(D85)/D71</f>
        <v>5.4501453250436795E-3</v>
      </c>
      <c r="E86" s="318">
        <f t="shared" si="10"/>
        <v>-4.2997338476949511E-2</v>
      </c>
      <c r="F86" s="318">
        <f t="shared" si="10"/>
        <v>2.9968620919139381E-2</v>
      </c>
      <c r="G86" s="318">
        <f t="shared" si="10"/>
        <v>7.1217885591349089E-2</v>
      </c>
      <c r="H86" s="318">
        <f t="shared" si="10"/>
        <v>1.5416340806973426E-2</v>
      </c>
      <c r="K86" s="23"/>
      <c r="L86" s="22"/>
      <c r="M86" s="23"/>
    </row>
    <row r="87" spans="2:23" x14ac:dyDescent="0.25">
      <c r="B87" s="210"/>
      <c r="C87" s="59"/>
      <c r="D87" s="15"/>
      <c r="E87" s="15"/>
      <c r="L87" s="23"/>
      <c r="M87" s="14"/>
      <c r="N87" s="24"/>
      <c r="V87" s="22"/>
      <c r="W87" s="23"/>
    </row>
    <row r="88" spans="2:23" x14ac:dyDescent="0.25">
      <c r="B88" s="29" t="s">
        <v>64</v>
      </c>
      <c r="C88" s="64">
        <f>(C83-'5. Vaccine Clinics and Testing'!D23)-('1. Reconciliation'!C71-'5. Vaccine Clinics and Testing'!C23)</f>
        <v>5257099</v>
      </c>
      <c r="D88" s="15"/>
      <c r="E88" s="15"/>
      <c r="O88" s="22"/>
      <c r="P88" s="23"/>
    </row>
    <row r="89" spans="2:23" x14ac:dyDescent="0.25">
      <c r="B89" s="53" t="s">
        <v>65</v>
      </c>
      <c r="C89" s="318">
        <f>(C88)/(C71-'5. Vaccine Clinics and Testing'!C23)</f>
        <v>1.9866224339548245E-2</v>
      </c>
      <c r="D89" s="15"/>
      <c r="E89" s="15"/>
      <c r="O89" s="22"/>
      <c r="P89" s="23"/>
    </row>
    <row r="90" spans="2:23" x14ac:dyDescent="0.25">
      <c r="B90" s="210"/>
      <c r="C90" s="59"/>
      <c r="D90" s="59"/>
      <c r="E90" s="59"/>
      <c r="F90" s="59"/>
      <c r="G90" s="59"/>
      <c r="H90" s="59"/>
      <c r="O90" s="22"/>
      <c r="P90" s="23"/>
    </row>
    <row r="91" spans="2:23" ht="19.899999999999999" customHeight="1" x14ac:dyDescent="0.3">
      <c r="B91" s="96" t="s">
        <v>66</v>
      </c>
      <c r="C91" s="4"/>
      <c r="D91" s="15"/>
      <c r="E91" s="15"/>
      <c r="V91" s="22"/>
      <c r="W91" s="23"/>
    </row>
    <row r="92" spans="2:23" ht="18.75" x14ac:dyDescent="0.3">
      <c r="B92" s="96"/>
      <c r="C92" s="4"/>
      <c r="D92" s="15"/>
      <c r="E92" s="15"/>
      <c r="V92" s="22"/>
      <c r="W92" s="23"/>
    </row>
    <row r="93" spans="2:23" x14ac:dyDescent="0.25">
      <c r="B93" s="98" t="s">
        <v>37</v>
      </c>
      <c r="C93" s="98" t="s">
        <v>38</v>
      </c>
      <c r="D93" s="98" t="s">
        <v>39</v>
      </c>
      <c r="E93" s="60"/>
      <c r="V93" s="22"/>
      <c r="W93" s="23"/>
    </row>
    <row r="94" spans="2:23" x14ac:dyDescent="0.25">
      <c r="B94" s="5" t="s">
        <v>56</v>
      </c>
      <c r="C94" s="88">
        <v>293735546</v>
      </c>
      <c r="D94" s="7"/>
      <c r="E94" s="59"/>
      <c r="V94" s="22"/>
      <c r="W94" s="23"/>
    </row>
    <row r="95" spans="2:23" x14ac:dyDescent="0.25">
      <c r="B95" s="8" t="s">
        <v>41</v>
      </c>
      <c r="C95" s="93"/>
      <c r="D95" s="9">
        <f>+C95/C$37</f>
        <v>0</v>
      </c>
      <c r="E95" s="61"/>
      <c r="V95" s="22"/>
    </row>
    <row r="96" spans="2:23" x14ac:dyDescent="0.25">
      <c r="B96" s="10" t="s">
        <v>42</v>
      </c>
      <c r="C96" s="93">
        <v>5534674</v>
      </c>
      <c r="D96" s="9">
        <f t="shared" ref="D96:D108" si="11">+C96/C$37</f>
        <v>2.0746918203948916E-2</v>
      </c>
      <c r="E96" s="61"/>
      <c r="V96" s="22"/>
    </row>
    <row r="97" spans="2:22" x14ac:dyDescent="0.25">
      <c r="B97" s="10" t="s">
        <v>43</v>
      </c>
      <c r="C97" s="93">
        <v>-2441949</v>
      </c>
      <c r="D97" s="9">
        <f t="shared" si="11"/>
        <v>-9.1537308541053825E-3</v>
      </c>
      <c r="E97" s="61"/>
      <c r="V97" s="22"/>
    </row>
    <row r="98" spans="2:22" x14ac:dyDescent="0.25">
      <c r="B98" s="10" t="s">
        <v>44</v>
      </c>
      <c r="C98" s="93">
        <v>1456678</v>
      </c>
      <c r="D98" s="9">
        <f t="shared" si="11"/>
        <v>5.4604082038963633E-3</v>
      </c>
      <c r="E98" s="61"/>
      <c r="V98" s="22"/>
    </row>
    <row r="99" spans="2:22" x14ac:dyDescent="0.25">
      <c r="B99" s="10" t="s">
        <v>45</v>
      </c>
      <c r="C99" s="93">
        <v>-2437810</v>
      </c>
      <c r="D99" s="9">
        <f t="shared" si="11"/>
        <v>-9.1382156684871978E-3</v>
      </c>
      <c r="E99" s="61"/>
      <c r="V99" s="22"/>
    </row>
    <row r="100" spans="2:22" x14ac:dyDescent="0.25">
      <c r="B100" s="10" t="s">
        <v>46</v>
      </c>
      <c r="C100" s="93"/>
      <c r="D100" s="9">
        <f t="shared" si="11"/>
        <v>0</v>
      </c>
      <c r="E100" s="61"/>
      <c r="V100" s="22"/>
    </row>
    <row r="101" spans="2:22" x14ac:dyDescent="0.25">
      <c r="B101" s="10" t="s">
        <v>48</v>
      </c>
      <c r="C101" s="93">
        <v>647539</v>
      </c>
      <c r="D101" s="9">
        <f t="shared" ref="D101:D106" si="12">+C101/C$37</f>
        <v>2.4273224885272156E-3</v>
      </c>
      <c r="E101" s="61"/>
    </row>
    <row r="102" spans="2:22" x14ac:dyDescent="0.25">
      <c r="B102" s="10" t="s">
        <v>49</v>
      </c>
      <c r="C102" s="93">
        <v>-1208000</v>
      </c>
      <c r="D102" s="9">
        <f t="shared" si="12"/>
        <v>-4.5282300620362271E-3</v>
      </c>
      <c r="E102" s="61"/>
    </row>
    <row r="103" spans="2:22" x14ac:dyDescent="0.25">
      <c r="B103" s="87" t="s">
        <v>274</v>
      </c>
      <c r="C103" s="93">
        <v>-2974046</v>
      </c>
      <c r="D103" s="9">
        <f t="shared" si="12"/>
        <v>-1.1148314985992213E-2</v>
      </c>
      <c r="E103" s="61"/>
    </row>
    <row r="104" spans="2:22" x14ac:dyDescent="0.25">
      <c r="B104" s="87" t="s">
        <v>275</v>
      </c>
      <c r="C104" s="93">
        <v>-250745</v>
      </c>
      <c r="D104" s="9">
        <f t="shared" si="12"/>
        <v>-9.3992636333218021E-4</v>
      </c>
      <c r="E104" s="61"/>
    </row>
    <row r="105" spans="2:22" x14ac:dyDescent="0.25">
      <c r="B105" s="87" t="s">
        <v>276</v>
      </c>
      <c r="C105" s="93">
        <v>-1076146</v>
      </c>
      <c r="D105" s="9">
        <f t="shared" si="12"/>
        <v>-4.0339707519371172E-3</v>
      </c>
      <c r="E105" s="61"/>
    </row>
    <row r="106" spans="2:22" x14ac:dyDescent="0.25">
      <c r="B106" s="87" t="s">
        <v>28</v>
      </c>
      <c r="C106" s="93"/>
      <c r="D106" s="9">
        <f t="shared" si="12"/>
        <v>0</v>
      </c>
      <c r="E106" s="61"/>
    </row>
    <row r="107" spans="2:22" x14ac:dyDescent="0.25">
      <c r="B107" s="87" t="s">
        <v>28</v>
      </c>
      <c r="C107" s="93"/>
      <c r="D107" s="9">
        <f t="shared" ref="D107" si="13">+C107/C$37</f>
        <v>0</v>
      </c>
      <c r="E107" s="61"/>
    </row>
    <row r="108" spans="2:22" x14ac:dyDescent="0.25">
      <c r="B108" s="87" t="s">
        <v>50</v>
      </c>
      <c r="C108" s="93"/>
      <c r="D108" s="9">
        <f t="shared" si="11"/>
        <v>0</v>
      </c>
      <c r="E108" s="61"/>
    </row>
    <row r="109" spans="2:22" x14ac:dyDescent="0.25">
      <c r="B109" s="11" t="s">
        <v>29</v>
      </c>
      <c r="C109" s="12">
        <f>SUM(C94:C108)</f>
        <v>290985741</v>
      </c>
      <c r="D109" s="13">
        <f>SUM(D95:D108)</f>
        <v>-1.0307739789517819E-2</v>
      </c>
      <c r="E109" s="302">
        <f>290985741-C109</f>
        <v>0</v>
      </c>
    </row>
    <row r="110" spans="2:22" x14ac:dyDescent="0.25">
      <c r="E110" s="56"/>
    </row>
    <row r="111" spans="2:22" x14ac:dyDescent="0.25">
      <c r="B111" s="29" t="s">
        <v>62</v>
      </c>
      <c r="C111" s="64">
        <f>+C109-C94</f>
        <v>-2749805</v>
      </c>
      <c r="E111" s="56"/>
    </row>
    <row r="112" spans="2:22" x14ac:dyDescent="0.25">
      <c r="B112" s="53" t="s">
        <v>63</v>
      </c>
      <c r="C112" s="319">
        <f>(C111)/C94</f>
        <v>-9.3614989314231654E-3</v>
      </c>
      <c r="E112" s="56"/>
    </row>
    <row r="113" spans="2:23" x14ac:dyDescent="0.25">
      <c r="B113" s="210"/>
      <c r="C113" s="59"/>
      <c r="D113" s="59"/>
      <c r="E113" s="59"/>
      <c r="F113" s="59"/>
      <c r="G113" s="59"/>
      <c r="H113" s="59"/>
      <c r="O113" s="22"/>
      <c r="P113" s="23"/>
    </row>
    <row r="114" spans="2:23" x14ac:dyDescent="0.25">
      <c r="B114" s="29" t="s">
        <v>64</v>
      </c>
      <c r="C114" s="64">
        <f>(C109-'5. Vaccine Clinics and Testing'!D42)-('1. Reconciliation'!C94-'1. Reconciliation'!C41)</f>
        <v>561043</v>
      </c>
      <c r="D114" s="59"/>
      <c r="E114" s="59"/>
      <c r="F114" s="59"/>
      <c r="G114" s="59"/>
      <c r="H114" s="59"/>
      <c r="K114" s="23"/>
      <c r="O114" s="22"/>
      <c r="P114" s="23"/>
    </row>
    <row r="115" spans="2:23" x14ac:dyDescent="0.25">
      <c r="B115" s="53" t="s">
        <v>65</v>
      </c>
      <c r="C115" s="319">
        <f>(C114/(C94-'5. Vaccine Clinics and Testing'!C36))</f>
        <v>1.9263027839599288E-3</v>
      </c>
      <c r="D115" s="15"/>
      <c r="E115" s="15"/>
      <c r="L115" s="23"/>
      <c r="M115" s="14"/>
      <c r="N115" s="24"/>
      <c r="V115" s="22"/>
      <c r="W115" s="23"/>
    </row>
  </sheetData>
  <mergeCells count="7">
    <mergeCell ref="A72:A75"/>
    <mergeCell ref="B2:O2"/>
    <mergeCell ref="B3:O3"/>
    <mergeCell ref="B6:O6"/>
    <mergeCell ref="B4:O4"/>
    <mergeCell ref="B65:O65"/>
    <mergeCell ref="A12:A19"/>
  </mergeCells>
  <pageMargins left="0.7" right="0.7" top="0.5" bottom="0.5" header="0.3" footer="0.3"/>
  <pageSetup scale="30" orientation="landscape" r:id="rId1"/>
  <headerFooter>
    <oddFooter>&amp;L&amp;D&amp;R&amp;F,&amp;A</oddFooter>
  </headerFooter>
  <rowBreaks count="1" manualBreakCount="1">
    <brk id="64"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K67"/>
  <sheetViews>
    <sheetView showGridLines="0" topLeftCell="A19" zoomScale="90" zoomScaleNormal="90" workbookViewId="0">
      <selection activeCell="S25" sqref="S25"/>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2" customWidth="1"/>
    <col min="9" max="11" width="17.7109375" style="1" customWidth="1"/>
    <col min="12" max="16384" width="8.85546875" style="1"/>
  </cols>
  <sheetData>
    <row r="2" spans="2:9" x14ac:dyDescent="0.25">
      <c r="B2" s="338" t="s">
        <v>67</v>
      </c>
      <c r="C2" s="338"/>
      <c r="D2" s="338"/>
      <c r="E2" s="338"/>
      <c r="F2" s="338"/>
      <c r="G2" s="338"/>
      <c r="H2" s="338"/>
      <c r="I2" s="338"/>
    </row>
    <row r="3" spans="2:9" ht="18.75" x14ac:dyDescent="0.3">
      <c r="B3" s="350" t="s">
        <v>13</v>
      </c>
      <c r="C3" s="351"/>
      <c r="D3" s="351"/>
      <c r="E3" s="351"/>
      <c r="F3" s="351"/>
      <c r="G3" s="351"/>
      <c r="H3" s="351"/>
      <c r="I3" s="352"/>
    </row>
    <row r="4" spans="2:9" ht="18.75" x14ac:dyDescent="0.3">
      <c r="B4" s="353" t="s">
        <v>68</v>
      </c>
      <c r="C4" s="354"/>
      <c r="D4" s="354"/>
      <c r="E4" s="354"/>
      <c r="F4" s="354"/>
      <c r="G4" s="354"/>
      <c r="H4" s="354"/>
      <c r="I4" s="355"/>
    </row>
    <row r="5" spans="2:9" ht="34.9" customHeight="1" x14ac:dyDescent="0.25">
      <c r="B5" s="349" t="s">
        <v>69</v>
      </c>
      <c r="C5" s="349"/>
      <c r="D5" s="349"/>
      <c r="E5" s="349"/>
      <c r="F5" s="349"/>
      <c r="G5" s="349"/>
      <c r="H5" s="215"/>
    </row>
    <row r="6" spans="2:9" x14ac:dyDescent="0.25">
      <c r="B6" s="216"/>
      <c r="C6" s="216"/>
      <c r="D6" s="216"/>
      <c r="E6" s="216"/>
      <c r="F6" s="216"/>
      <c r="G6" s="216"/>
      <c r="H6" s="215"/>
    </row>
    <row r="7" spans="2:9" ht="29.45" customHeight="1" x14ac:dyDescent="0.25">
      <c r="B7" s="357" t="s">
        <v>70</v>
      </c>
      <c r="C7" s="358"/>
      <c r="D7" s="359"/>
      <c r="H7" s="1"/>
    </row>
    <row r="8" spans="2:9" ht="15" customHeight="1" x14ac:dyDescent="0.25">
      <c r="B8" s="360" t="s">
        <v>71</v>
      </c>
      <c r="C8" s="361"/>
      <c r="D8" s="362"/>
      <c r="H8" s="1"/>
    </row>
    <row r="9" spans="2:9" ht="42.75" customHeight="1" x14ac:dyDescent="0.25">
      <c r="B9" s="3" t="s">
        <v>72</v>
      </c>
      <c r="C9" s="47" t="s">
        <v>73</v>
      </c>
      <c r="D9" s="47" t="s">
        <v>74</v>
      </c>
      <c r="H9" s="1"/>
    </row>
    <row r="10" spans="2:9" x14ac:dyDescent="0.25">
      <c r="B10" s="3"/>
      <c r="C10" s="3"/>
      <c r="D10" s="47"/>
      <c r="H10" s="1"/>
    </row>
    <row r="11" spans="2:9" x14ac:dyDescent="0.25">
      <c r="B11" s="3" t="s">
        <v>75</v>
      </c>
      <c r="C11" s="236">
        <v>7795122</v>
      </c>
      <c r="D11" s="221">
        <v>4.0300000000000002E-2</v>
      </c>
      <c r="H11" s="1"/>
    </row>
    <row r="12" spans="2:9" x14ac:dyDescent="0.25">
      <c r="B12" s="3" t="s">
        <v>76</v>
      </c>
      <c r="C12" s="236">
        <v>14850812</v>
      </c>
      <c r="D12" s="221">
        <v>4.24E-2</v>
      </c>
      <c r="H12" s="1"/>
    </row>
    <row r="13" spans="2:9" x14ac:dyDescent="0.25">
      <c r="B13" s="3" t="s">
        <v>77</v>
      </c>
      <c r="C13" s="236">
        <v>-202956</v>
      </c>
      <c r="D13" s="221">
        <v>-2.7000000000000001E-3</v>
      </c>
      <c r="H13" s="1"/>
    </row>
    <row r="14" spans="2:9" x14ac:dyDescent="0.25">
      <c r="B14" s="3" t="s">
        <v>28</v>
      </c>
      <c r="C14" s="236">
        <v>0</v>
      </c>
      <c r="D14" s="221">
        <v>0</v>
      </c>
      <c r="H14" s="1"/>
    </row>
    <row r="15" spans="2:9" ht="30" x14ac:dyDescent="0.25">
      <c r="B15" s="58" t="s">
        <v>78</v>
      </c>
      <c r="C15" s="237">
        <f>SUM(C11:C14)</f>
        <v>22442978</v>
      </c>
      <c r="D15" s="323">
        <v>3.6400000000000002E-2</v>
      </c>
      <c r="H15" s="1"/>
    </row>
    <row r="16" spans="2:9" s="62" customFormat="1" x14ac:dyDescent="0.25">
      <c r="B16" s="217"/>
      <c r="C16" s="63"/>
      <c r="D16" s="63"/>
      <c r="E16" s="63"/>
      <c r="F16" s="63"/>
      <c r="G16" s="63"/>
      <c r="H16" s="63"/>
    </row>
    <row r="17" spans="2:11" ht="45" customHeight="1" x14ac:dyDescent="0.25">
      <c r="B17" s="357" t="s">
        <v>246</v>
      </c>
      <c r="C17" s="358"/>
      <c r="D17" s="358"/>
      <c r="E17" s="358"/>
      <c r="F17" s="358"/>
      <c r="G17" s="358"/>
      <c r="H17" s="358"/>
      <c r="I17" s="358"/>
      <c r="J17" s="359"/>
    </row>
    <row r="18" spans="2:11" ht="15" customHeight="1" x14ac:dyDescent="0.25">
      <c r="B18" s="360" t="s">
        <v>227</v>
      </c>
      <c r="C18" s="361"/>
      <c r="D18" s="361"/>
      <c r="E18" s="361"/>
      <c r="F18" s="361"/>
      <c r="G18" s="361"/>
      <c r="H18" s="361"/>
      <c r="I18" s="361"/>
      <c r="J18" s="362"/>
    </row>
    <row r="19" spans="2:11" ht="42.75" customHeight="1" x14ac:dyDescent="0.25">
      <c r="B19" s="3" t="s">
        <v>72</v>
      </c>
      <c r="C19" s="47" t="s">
        <v>221</v>
      </c>
      <c r="D19" s="47" t="s">
        <v>79</v>
      </c>
      <c r="E19" s="47" t="s">
        <v>222</v>
      </c>
      <c r="F19" s="368" t="s">
        <v>223</v>
      </c>
      <c r="G19" s="369"/>
      <c r="H19" s="218" t="s">
        <v>224</v>
      </c>
      <c r="I19" s="218" t="s">
        <v>225</v>
      </c>
      <c r="J19" s="218" t="s">
        <v>226</v>
      </c>
    </row>
    <row r="20" spans="2:11" x14ac:dyDescent="0.25">
      <c r="B20" s="3"/>
      <c r="C20" s="47"/>
      <c r="D20" s="219"/>
      <c r="E20" s="47"/>
      <c r="F20" s="47" t="s">
        <v>80</v>
      </c>
      <c r="G20" s="47" t="s">
        <v>81</v>
      </c>
      <c r="H20" s="47"/>
      <c r="I20" s="47"/>
      <c r="J20" s="47"/>
    </row>
    <row r="21" spans="2:11" x14ac:dyDescent="0.25">
      <c r="B21" s="3" t="s">
        <v>75</v>
      </c>
      <c r="C21" s="220">
        <v>185725550</v>
      </c>
      <c r="D21" s="221">
        <f>(E21/C21)-1</f>
        <v>8.3079721664574446E-2</v>
      </c>
      <c r="E21" s="81">
        <v>201155577</v>
      </c>
      <c r="F21" s="81">
        <v>-1775978</v>
      </c>
      <c r="G21" s="81">
        <v>0</v>
      </c>
      <c r="H21" s="81">
        <v>-360888</v>
      </c>
      <c r="I21" s="81">
        <v>4970263</v>
      </c>
      <c r="J21" s="81">
        <v>12596631</v>
      </c>
    </row>
    <row r="22" spans="2:11" x14ac:dyDescent="0.25">
      <c r="B22" s="3" t="s">
        <v>76</v>
      </c>
      <c r="C22" s="220">
        <v>323352939</v>
      </c>
      <c r="D22" s="221">
        <f t="shared" ref="D22:D25" si="0">(E22/C22)-1</f>
        <v>0.12856792682499796</v>
      </c>
      <c r="E22" s="81">
        <v>364925756</v>
      </c>
      <c r="F22" s="81">
        <v>6591666</v>
      </c>
      <c r="G22" s="81">
        <v>0</v>
      </c>
      <c r="H22" s="81">
        <v>-1587307</v>
      </c>
      <c r="I22" s="81">
        <v>4123814</v>
      </c>
      <c r="J22" s="81">
        <v>32444645</v>
      </c>
      <c r="K22" s="114"/>
    </row>
    <row r="23" spans="2:11" x14ac:dyDescent="0.25">
      <c r="B23" s="3" t="s">
        <v>77</v>
      </c>
      <c r="C23" s="220">
        <v>69210608</v>
      </c>
      <c r="D23" s="221">
        <f t="shared" si="0"/>
        <v>6.5693571135800433E-2</v>
      </c>
      <c r="E23" s="81">
        <v>73757300</v>
      </c>
      <c r="F23" s="81">
        <v>-360172</v>
      </c>
      <c r="G23" s="81">
        <v>0</v>
      </c>
      <c r="H23" s="81">
        <v>-204545</v>
      </c>
      <c r="I23" s="81">
        <v>1379491</v>
      </c>
      <c r="J23" s="81">
        <v>3731918</v>
      </c>
    </row>
    <row r="24" spans="2:11" x14ac:dyDescent="0.25">
      <c r="B24" s="3" t="s">
        <v>28</v>
      </c>
      <c r="C24" s="220">
        <v>0</v>
      </c>
      <c r="D24" s="221"/>
      <c r="E24" s="81">
        <f t="shared" ref="E24" si="1">SUM(F24:J24)</f>
        <v>0</v>
      </c>
      <c r="F24" s="81"/>
      <c r="G24" s="81"/>
      <c r="H24" s="81"/>
      <c r="I24" s="81"/>
      <c r="J24" s="81"/>
    </row>
    <row r="25" spans="2:11" ht="30" x14ac:dyDescent="0.25">
      <c r="B25" s="58" t="s">
        <v>236</v>
      </c>
      <c r="C25" s="222">
        <f>SUM(C21:C24)</f>
        <v>578289097</v>
      </c>
      <c r="D25" s="289">
        <f t="shared" si="0"/>
        <v>0.10643385171759512</v>
      </c>
      <c r="E25" s="222">
        <f t="shared" ref="E25:J25" si="2">SUM(E21:E24)</f>
        <v>639838633</v>
      </c>
      <c r="F25" s="82">
        <f t="shared" si="2"/>
        <v>4455516</v>
      </c>
      <c r="G25" s="82">
        <f t="shared" si="2"/>
        <v>0</v>
      </c>
      <c r="H25" s="82">
        <f t="shared" si="2"/>
        <v>-2152740</v>
      </c>
      <c r="I25" s="82">
        <f t="shared" si="2"/>
        <v>10473568</v>
      </c>
      <c r="J25" s="82">
        <f t="shared" si="2"/>
        <v>48773194</v>
      </c>
    </row>
    <row r="26" spans="2:11" s="62" customFormat="1" x14ac:dyDescent="0.25">
      <c r="B26" s="217"/>
      <c r="C26" s="63" t="s">
        <v>243</v>
      </c>
      <c r="D26" s="63"/>
      <c r="E26" s="63" t="s">
        <v>243</v>
      </c>
      <c r="F26" s="63"/>
      <c r="G26" s="63"/>
      <c r="H26" s="63"/>
    </row>
    <row r="27" spans="2:11" s="62" customFormat="1" x14ac:dyDescent="0.25">
      <c r="B27" s="217"/>
      <c r="C27" s="63"/>
      <c r="D27" s="63"/>
      <c r="E27" s="63"/>
      <c r="F27" s="63"/>
      <c r="G27" s="63"/>
      <c r="H27" s="63"/>
    </row>
    <row r="28" spans="2:11" s="62" customFormat="1" ht="23.45" customHeight="1" x14ac:dyDescent="0.25">
      <c r="B28" s="357" t="s">
        <v>82</v>
      </c>
      <c r="C28" s="358"/>
      <c r="D28" s="358"/>
      <c r="E28" s="358"/>
      <c r="F28" s="358"/>
      <c r="G28" s="358"/>
      <c r="H28" s="358"/>
      <c r="I28" s="358"/>
      <c r="J28" s="359"/>
    </row>
    <row r="29" spans="2:11" x14ac:dyDescent="0.25">
      <c r="B29" s="360" t="s">
        <v>219</v>
      </c>
      <c r="C29" s="361"/>
      <c r="D29" s="361"/>
      <c r="E29" s="361"/>
      <c r="F29" s="361"/>
      <c r="G29" s="361"/>
      <c r="H29" s="361"/>
      <c r="I29" s="361"/>
      <c r="J29" s="362"/>
    </row>
    <row r="30" spans="2:11" ht="42.75" customHeight="1" x14ac:dyDescent="0.25">
      <c r="B30" s="3" t="s">
        <v>83</v>
      </c>
      <c r="C30" s="3" t="s">
        <v>84</v>
      </c>
      <c r="D30" s="47" t="s">
        <v>85</v>
      </c>
      <c r="E30" s="47" t="s">
        <v>86</v>
      </c>
      <c r="F30" s="363" t="s">
        <v>228</v>
      </c>
      <c r="G30" s="364"/>
      <c r="H30" s="47" t="s">
        <v>229</v>
      </c>
      <c r="I30" s="47" t="s">
        <v>230</v>
      </c>
      <c r="J30" s="47" t="s">
        <v>231</v>
      </c>
    </row>
    <row r="31" spans="2:11" ht="15.75" customHeight="1" x14ac:dyDescent="0.25">
      <c r="B31" s="3"/>
      <c r="C31" s="3"/>
      <c r="D31" s="3"/>
      <c r="E31" s="47"/>
      <c r="F31" s="47" t="s">
        <v>80</v>
      </c>
      <c r="G31" s="47" t="s">
        <v>81</v>
      </c>
      <c r="H31" s="47"/>
      <c r="I31" s="47"/>
      <c r="J31" s="47"/>
    </row>
    <row r="32" spans="2:11" x14ac:dyDescent="0.25">
      <c r="B32" s="3" t="s">
        <v>75</v>
      </c>
      <c r="C32" s="220">
        <v>0</v>
      </c>
      <c r="D32" s="220">
        <v>0</v>
      </c>
      <c r="E32" s="223">
        <v>0</v>
      </c>
      <c r="F32" s="223">
        <v>0</v>
      </c>
      <c r="G32" s="223">
        <v>0</v>
      </c>
      <c r="H32" s="223">
        <v>0</v>
      </c>
      <c r="I32" s="223">
        <v>0</v>
      </c>
      <c r="J32" s="223">
        <v>0</v>
      </c>
    </row>
    <row r="33" spans="2:10" x14ac:dyDescent="0.25">
      <c r="B33" s="3" t="s">
        <v>76</v>
      </c>
      <c r="C33" s="220">
        <v>0</v>
      </c>
      <c r="D33" s="220">
        <v>0</v>
      </c>
      <c r="E33" s="223">
        <v>0</v>
      </c>
      <c r="F33" s="223">
        <v>0</v>
      </c>
      <c r="G33" s="223">
        <v>0</v>
      </c>
      <c r="H33" s="223">
        <v>0</v>
      </c>
      <c r="I33" s="223">
        <v>0</v>
      </c>
      <c r="J33" s="223">
        <v>0</v>
      </c>
    </row>
    <row r="34" spans="2:10" x14ac:dyDescent="0.25">
      <c r="B34" s="3" t="s">
        <v>77</v>
      </c>
      <c r="C34" s="220">
        <v>0</v>
      </c>
      <c r="D34" s="220">
        <v>0</v>
      </c>
      <c r="E34" s="223">
        <v>0</v>
      </c>
      <c r="F34" s="223">
        <v>0</v>
      </c>
      <c r="G34" s="223">
        <v>0</v>
      </c>
      <c r="H34" s="223">
        <v>0</v>
      </c>
      <c r="I34" s="223">
        <v>0</v>
      </c>
      <c r="J34" s="223">
        <v>0</v>
      </c>
    </row>
    <row r="35" spans="2:10" x14ac:dyDescent="0.25">
      <c r="B35" s="3" t="s">
        <v>264</v>
      </c>
      <c r="C35" s="220">
        <v>248286904</v>
      </c>
      <c r="D35" s="220">
        <f>E35-C35</f>
        <v>23288275</v>
      </c>
      <c r="E35" s="322">
        <v>271575179</v>
      </c>
      <c r="F35" s="223">
        <f>'1. Reconciliation'!F25</f>
        <v>-5634396</v>
      </c>
      <c r="G35" s="223">
        <v>0</v>
      </c>
      <c r="H35" s="322">
        <f>'1. Reconciliation'!G25</f>
        <v>3675001</v>
      </c>
      <c r="I35" s="322">
        <f>'1. Reconciliation'!E25+'1. Reconciliation'!H25</f>
        <v>6768170</v>
      </c>
      <c r="J35" s="223">
        <f>+'1. Reconciliation'!D25</f>
        <v>18064912</v>
      </c>
    </row>
    <row r="36" spans="2:10" x14ac:dyDescent="0.25">
      <c r="B36" s="3"/>
      <c r="C36" s="3"/>
      <c r="D36" s="3"/>
      <c r="E36" s="223"/>
      <c r="F36" s="223"/>
      <c r="G36" s="223"/>
      <c r="H36" s="223"/>
      <c r="I36" s="223"/>
      <c r="J36" s="223"/>
    </row>
    <row r="37" spans="2:10" x14ac:dyDescent="0.25">
      <c r="B37" s="3"/>
      <c r="C37" s="3"/>
      <c r="D37" s="3"/>
      <c r="E37" s="223"/>
      <c r="F37" s="223"/>
      <c r="G37" s="223"/>
      <c r="H37" s="223"/>
      <c r="I37" s="223"/>
      <c r="J37" s="223"/>
    </row>
    <row r="38" spans="2:10" x14ac:dyDescent="0.25">
      <c r="B38" s="3"/>
      <c r="C38" s="3"/>
      <c r="D38" s="3"/>
      <c r="E38" s="223"/>
      <c r="F38" s="223"/>
      <c r="G38" s="223"/>
      <c r="H38" s="223"/>
      <c r="I38" s="223"/>
      <c r="J38" s="223"/>
    </row>
    <row r="39" spans="2:10" x14ac:dyDescent="0.25">
      <c r="B39" s="58" t="s">
        <v>235</v>
      </c>
      <c r="C39" s="224">
        <f>SUM(C32:C38)</f>
        <v>248286904</v>
      </c>
      <c r="D39" s="224">
        <f>SUM(D32:D38)</f>
        <v>23288275</v>
      </c>
      <c r="E39" s="224">
        <f t="shared" ref="E39:J39" si="3">SUM(E32:E38)</f>
        <v>271575179</v>
      </c>
      <c r="F39" s="224">
        <f t="shared" si="3"/>
        <v>-5634396</v>
      </c>
      <c r="G39" s="224">
        <f t="shared" si="3"/>
        <v>0</v>
      </c>
      <c r="H39" s="224">
        <f t="shared" si="3"/>
        <v>3675001</v>
      </c>
      <c r="I39" s="224">
        <f t="shared" si="3"/>
        <v>6768170</v>
      </c>
      <c r="J39" s="224">
        <f t="shared" si="3"/>
        <v>18064912</v>
      </c>
    </row>
    <row r="40" spans="2:10" s="62" customFormat="1" x14ac:dyDescent="0.25">
      <c r="C40" s="63"/>
      <c r="D40" s="63"/>
      <c r="E40" s="63"/>
      <c r="F40" s="225"/>
      <c r="G40" s="225"/>
      <c r="H40" s="225"/>
    </row>
    <row r="41" spans="2:10" s="62" customFormat="1" x14ac:dyDescent="0.25">
      <c r="C41" s="63"/>
      <c r="D41" s="63"/>
      <c r="E41" s="63"/>
      <c r="F41" s="225"/>
      <c r="G41" s="225"/>
      <c r="H41" s="225"/>
    </row>
    <row r="42" spans="2:10" s="62" customFormat="1" x14ac:dyDescent="0.25">
      <c r="B42" s="360" t="s">
        <v>220</v>
      </c>
      <c r="C42" s="361"/>
      <c r="D42" s="361"/>
      <c r="E42" s="361"/>
      <c r="F42" s="361"/>
      <c r="G42" s="361"/>
      <c r="H42" s="362"/>
    </row>
    <row r="43" spans="2:10" s="62" customFormat="1" ht="42.6" customHeight="1" x14ac:dyDescent="0.25">
      <c r="B43" s="3" t="s">
        <v>83</v>
      </c>
      <c r="C43" s="3" t="s">
        <v>87</v>
      </c>
      <c r="D43" s="47" t="s">
        <v>85</v>
      </c>
      <c r="E43" s="47" t="s">
        <v>88</v>
      </c>
      <c r="F43" s="255" t="s">
        <v>241</v>
      </c>
      <c r="G43" s="47" t="s">
        <v>232</v>
      </c>
      <c r="H43" s="47" t="s">
        <v>233</v>
      </c>
    </row>
    <row r="44" spans="2:10" s="62" customFormat="1" x14ac:dyDescent="0.25">
      <c r="B44" s="3" t="s">
        <v>75</v>
      </c>
      <c r="C44" s="320">
        <v>0</v>
      </c>
      <c r="D44" s="320">
        <v>0</v>
      </c>
      <c r="E44" s="321">
        <f>SUM(F44:H44)</f>
        <v>0</v>
      </c>
      <c r="F44" s="321">
        <v>0</v>
      </c>
      <c r="G44" s="321">
        <v>0</v>
      </c>
      <c r="H44" s="321">
        <v>0</v>
      </c>
    </row>
    <row r="45" spans="2:10" s="62" customFormat="1" x14ac:dyDescent="0.25">
      <c r="B45" s="3" t="s">
        <v>76</v>
      </c>
      <c r="C45" s="320">
        <v>0</v>
      </c>
      <c r="D45" s="320">
        <v>0</v>
      </c>
      <c r="E45" s="321">
        <f t="shared" ref="E45:E48" si="4">SUM(F45:H45)</f>
        <v>0</v>
      </c>
      <c r="F45" s="321">
        <v>0</v>
      </c>
      <c r="G45" s="321">
        <v>0</v>
      </c>
      <c r="H45" s="321">
        <v>0</v>
      </c>
    </row>
    <row r="46" spans="2:10" s="62" customFormat="1" x14ac:dyDescent="0.25">
      <c r="B46" s="3" t="s">
        <v>77</v>
      </c>
      <c r="C46" s="320">
        <v>14824780</v>
      </c>
      <c r="D46" s="320">
        <f>E46-C46</f>
        <v>34874765</v>
      </c>
      <c r="E46" s="321">
        <f t="shared" si="4"/>
        <v>49699545</v>
      </c>
      <c r="F46" s="321">
        <v>0</v>
      </c>
      <c r="G46" s="321">
        <v>18499545</v>
      </c>
      <c r="H46" s="321">
        <v>31200000</v>
      </c>
    </row>
    <row r="47" spans="2:10" s="62" customFormat="1" x14ac:dyDescent="0.25">
      <c r="B47" s="3" t="s">
        <v>89</v>
      </c>
      <c r="C47" s="320">
        <v>-15124000</v>
      </c>
      <c r="D47" s="320">
        <f t="shared" ref="D47:D48" si="5">E47-C47</f>
        <v>-34851869</v>
      </c>
      <c r="E47" s="321">
        <f t="shared" si="4"/>
        <v>-49975869</v>
      </c>
      <c r="F47" s="321">
        <v>0</v>
      </c>
      <c r="G47" s="321">
        <v>-18775869</v>
      </c>
      <c r="H47" s="321">
        <v>-31200000</v>
      </c>
    </row>
    <row r="48" spans="2:10" s="62" customFormat="1" x14ac:dyDescent="0.25">
      <c r="B48" s="3" t="s">
        <v>90</v>
      </c>
      <c r="C48" s="320">
        <v>-500000</v>
      </c>
      <c r="D48" s="320">
        <f t="shared" si="5"/>
        <v>-437484</v>
      </c>
      <c r="E48" s="321">
        <f t="shared" si="4"/>
        <v>-937484</v>
      </c>
      <c r="F48" s="321">
        <v>0</v>
      </c>
      <c r="G48" s="321">
        <v>-937484</v>
      </c>
      <c r="H48" s="321">
        <v>0</v>
      </c>
    </row>
    <row r="49" spans="2:10" s="62" customFormat="1" x14ac:dyDescent="0.25">
      <c r="B49" s="58" t="s">
        <v>234</v>
      </c>
      <c r="C49" s="224">
        <f>SUM(C44:C48)</f>
        <v>-799220</v>
      </c>
      <c r="D49" s="224">
        <f>SUM(D44:D48)</f>
        <v>-414588</v>
      </c>
      <c r="E49" s="224">
        <f>SUM(E44:E48)</f>
        <v>-1213808</v>
      </c>
      <c r="F49" s="224">
        <f t="shared" ref="F49:H49" si="6">SUM(F44:F48)</f>
        <v>0</v>
      </c>
      <c r="G49" s="224">
        <f t="shared" si="6"/>
        <v>-1213808</v>
      </c>
      <c r="H49" s="224">
        <f t="shared" si="6"/>
        <v>0</v>
      </c>
    </row>
    <row r="50" spans="2:10" s="62" customFormat="1" x14ac:dyDescent="0.25">
      <c r="C50" s="63"/>
      <c r="D50" s="63"/>
      <c r="E50" s="63"/>
      <c r="F50" s="62" t="s">
        <v>242</v>
      </c>
      <c r="G50" s="225"/>
      <c r="H50" s="225"/>
    </row>
    <row r="51" spans="2:10" s="62" customFormat="1" ht="15.75" thickBot="1" x14ac:dyDescent="0.3">
      <c r="B51" s="215"/>
      <c r="C51" s="225"/>
      <c r="D51" s="225"/>
      <c r="E51" s="225"/>
      <c r="F51" s="225"/>
      <c r="G51" s="225"/>
      <c r="H51" s="225"/>
    </row>
    <row r="52" spans="2:10" s="62" customFormat="1" ht="30" x14ac:dyDescent="0.25">
      <c r="B52" s="226"/>
      <c r="C52" s="227" t="s">
        <v>91</v>
      </c>
      <c r="D52" s="227" t="s">
        <v>85</v>
      </c>
      <c r="E52" s="227" t="s">
        <v>79</v>
      </c>
      <c r="F52" s="228" t="s">
        <v>92</v>
      </c>
      <c r="G52" s="225"/>
      <c r="H52" s="225"/>
      <c r="I52" s="225"/>
    </row>
    <row r="53" spans="2:10" s="62" customFormat="1" x14ac:dyDescent="0.25">
      <c r="B53" s="239" t="s">
        <v>93</v>
      </c>
      <c r="C53" s="238">
        <f>C39+C49</f>
        <v>247487684</v>
      </c>
      <c r="D53" s="238">
        <f>D39+D49</f>
        <v>22873687</v>
      </c>
      <c r="E53" s="313">
        <f>D53/C53</f>
        <v>9.2423536518285901E-2</v>
      </c>
      <c r="F53" s="240">
        <f>E39+E49</f>
        <v>270361371</v>
      </c>
      <c r="G53" s="225"/>
      <c r="H53" s="225"/>
      <c r="I53" s="225"/>
    </row>
    <row r="54" spans="2:10" s="62" customFormat="1" x14ac:dyDescent="0.25">
      <c r="B54" s="239" t="s">
        <v>94</v>
      </c>
      <c r="C54" s="241">
        <f>'1. Reconciliation'!C11</f>
        <v>247487684</v>
      </c>
      <c r="D54" s="241">
        <f>'1. Reconciliation'!C25</f>
        <v>22873687</v>
      </c>
      <c r="E54" s="242">
        <f>'1. Reconciliation'!C26</f>
        <v>9.2423536518285901E-2</v>
      </c>
      <c r="F54" s="243">
        <f>'1. Reconciliation'!C23</f>
        <v>270361371</v>
      </c>
      <c r="G54" s="225"/>
      <c r="H54" s="225"/>
      <c r="I54" s="225"/>
    </row>
    <row r="55" spans="2:10" s="62" customFormat="1" ht="18" customHeight="1" thickBot="1" x14ac:dyDescent="0.3">
      <c r="B55" s="244" t="s">
        <v>95</v>
      </c>
      <c r="C55" s="245">
        <f>C53-C54</f>
        <v>0</v>
      </c>
      <c r="D55" s="245">
        <f t="shared" ref="D55:F55" si="7">D53-D54</f>
        <v>0</v>
      </c>
      <c r="E55" s="245">
        <f t="shared" si="7"/>
        <v>0</v>
      </c>
      <c r="F55" s="246">
        <f t="shared" si="7"/>
        <v>0</v>
      </c>
      <c r="G55" s="225"/>
      <c r="H55" s="225"/>
      <c r="I55" s="225"/>
    </row>
    <row r="56" spans="2:10" s="62" customFormat="1" x14ac:dyDescent="0.25">
      <c r="G56" s="225"/>
      <c r="H56" s="225"/>
      <c r="I56" s="225"/>
      <c r="J56" s="1"/>
    </row>
    <row r="57" spans="2:10" x14ac:dyDescent="0.25">
      <c r="B57" s="229"/>
      <c r="C57" s="230"/>
      <c r="D57" s="231"/>
      <c r="E57" s="232"/>
      <c r="F57" s="232"/>
      <c r="G57" s="232"/>
      <c r="H57" s="233"/>
    </row>
    <row r="58" spans="2:10" x14ac:dyDescent="0.25">
      <c r="B58" s="365" t="s">
        <v>96</v>
      </c>
      <c r="C58" s="366"/>
      <c r="D58" s="366"/>
      <c r="E58" s="366"/>
      <c r="F58" s="366"/>
      <c r="G58" s="367"/>
      <c r="H58" s="233"/>
    </row>
    <row r="59" spans="2:10" x14ac:dyDescent="0.25">
      <c r="B59" s="360" t="s">
        <v>97</v>
      </c>
      <c r="C59" s="361"/>
      <c r="D59" s="361"/>
      <c r="E59" s="361"/>
      <c r="F59" s="361"/>
      <c r="G59" s="362"/>
      <c r="H59" s="234"/>
    </row>
    <row r="60" spans="2:10" x14ac:dyDescent="0.25">
      <c r="B60" s="356" t="s">
        <v>265</v>
      </c>
      <c r="C60" s="356"/>
      <c r="D60" s="356"/>
      <c r="E60" s="356"/>
      <c r="F60" s="356"/>
      <c r="G60" s="356"/>
    </row>
    <row r="61" spans="2:10" x14ac:dyDescent="0.25">
      <c r="B61" s="356"/>
      <c r="C61" s="356"/>
      <c r="D61" s="356"/>
      <c r="E61" s="356"/>
      <c r="F61" s="356"/>
      <c r="G61" s="356"/>
    </row>
    <row r="62" spans="2:10" x14ac:dyDescent="0.25">
      <c r="B62" s="356"/>
      <c r="C62" s="356"/>
      <c r="D62" s="356"/>
      <c r="E62" s="356"/>
      <c r="F62" s="356"/>
      <c r="G62" s="356"/>
    </row>
    <row r="63" spans="2:10" x14ac:dyDescent="0.25">
      <c r="B63" s="356"/>
      <c r="C63" s="356"/>
      <c r="D63" s="356"/>
      <c r="E63" s="356"/>
      <c r="F63" s="356"/>
      <c r="G63" s="356"/>
    </row>
    <row r="64" spans="2:10" x14ac:dyDescent="0.25">
      <c r="B64" s="356"/>
      <c r="C64" s="356"/>
      <c r="D64" s="356"/>
      <c r="E64" s="356"/>
      <c r="F64" s="356"/>
      <c r="G64" s="356"/>
    </row>
    <row r="67" spans="3:3" x14ac:dyDescent="0.25">
      <c r="C67" s="20"/>
    </row>
  </sheetData>
  <mergeCells count="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5" bottom="0.75" header="0.3" footer="0.3"/>
  <pageSetup scale="81" fitToHeight="2" orientation="landscape" r:id="rId1"/>
  <headerFooter>
    <oddFooter>&amp;L&amp;D&amp;R&amp;F,&amp;A,</oddFooter>
  </headerFooter>
  <ignoredErrors>
    <ignoredError sqref="E53:E5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F20"/>
  <sheetViews>
    <sheetView showGridLines="0" zoomScale="90" zoomScaleNormal="90" workbookViewId="0">
      <selection activeCell="D40" sqref="D40"/>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5" width="11.140625" style="1" bestFit="1" customWidth="1"/>
    <col min="6" max="6" width="11" style="1" bestFit="1" customWidth="1"/>
    <col min="7" max="16384" width="8.85546875" style="1"/>
  </cols>
  <sheetData>
    <row r="1" spans="2:6" x14ac:dyDescent="0.25">
      <c r="B1" s="370" t="s">
        <v>98</v>
      </c>
      <c r="C1" s="370"/>
      <c r="D1" s="370"/>
    </row>
    <row r="2" spans="2:6" ht="21" x14ac:dyDescent="0.35">
      <c r="B2" s="371" t="s">
        <v>5</v>
      </c>
      <c r="C2" s="372"/>
      <c r="D2" s="373"/>
    </row>
    <row r="3" spans="2:6" ht="18.75" x14ac:dyDescent="0.3">
      <c r="B3" s="375" t="s">
        <v>99</v>
      </c>
      <c r="C3" s="376"/>
      <c r="D3" s="377"/>
    </row>
    <row r="4" spans="2:6" ht="65.25" customHeight="1" x14ac:dyDescent="0.25">
      <c r="B4" s="374" t="s">
        <v>237</v>
      </c>
      <c r="C4" s="374"/>
      <c r="D4" s="374"/>
    </row>
    <row r="5" spans="2:6" x14ac:dyDescent="0.25">
      <c r="B5" s="21"/>
      <c r="C5" s="2"/>
      <c r="D5" s="2"/>
    </row>
    <row r="6" spans="2:6" x14ac:dyDescent="0.25">
      <c r="B6" s="379" t="s">
        <v>100</v>
      </c>
      <c r="C6" s="378" t="s">
        <v>101</v>
      </c>
      <c r="D6" s="378" t="s">
        <v>102</v>
      </c>
    </row>
    <row r="7" spans="2:6" x14ac:dyDescent="0.25">
      <c r="B7" s="379"/>
      <c r="C7" s="378"/>
      <c r="D7" s="378"/>
    </row>
    <row r="8" spans="2:6" x14ac:dyDescent="0.25">
      <c r="B8" s="79" t="s">
        <v>22</v>
      </c>
      <c r="C8" s="274"/>
      <c r="D8" s="272">
        <v>578289089</v>
      </c>
    </row>
    <row r="9" spans="2:6" x14ac:dyDescent="0.25">
      <c r="B9" s="113" t="s">
        <v>255</v>
      </c>
      <c r="C9" s="275">
        <v>5.0000000000000001E-3</v>
      </c>
      <c r="D9" s="273">
        <v>1333012</v>
      </c>
    </row>
    <row r="10" spans="2:6" x14ac:dyDescent="0.25">
      <c r="B10" s="3" t="s">
        <v>256</v>
      </c>
      <c r="C10" s="275">
        <v>8.5999999999999993E-2</v>
      </c>
      <c r="D10" s="273">
        <f>30037425+1804000</f>
        <v>31841425</v>
      </c>
    </row>
    <row r="11" spans="2:6" x14ac:dyDescent="0.25">
      <c r="B11" s="3" t="s">
        <v>247</v>
      </c>
      <c r="C11" s="275">
        <v>3.0000000000000001E-3</v>
      </c>
      <c r="D11" s="273">
        <v>2038020</v>
      </c>
    </row>
    <row r="12" spans="2:6" x14ac:dyDescent="0.25">
      <c r="B12" s="3" t="s">
        <v>248</v>
      </c>
      <c r="C12" s="275">
        <v>-3.0000000000000001E-3</v>
      </c>
      <c r="D12" s="273">
        <v>-2028979</v>
      </c>
    </row>
    <row r="13" spans="2:6" x14ac:dyDescent="0.25">
      <c r="B13" s="3" t="s">
        <v>249</v>
      </c>
      <c r="C13" s="275">
        <v>8.9999999999999993E-3</v>
      </c>
      <c r="D13" s="273">
        <v>5648120</v>
      </c>
    </row>
    <row r="14" spans="2:6" x14ac:dyDescent="0.25">
      <c r="B14" s="3" t="s">
        <v>250</v>
      </c>
      <c r="C14" s="282">
        <v>5.0000000000000001E-4</v>
      </c>
      <c r="D14" s="273">
        <v>274968</v>
      </c>
    </row>
    <row r="15" spans="2:6" x14ac:dyDescent="0.25">
      <c r="B15" s="3" t="s">
        <v>262</v>
      </c>
      <c r="C15" s="275">
        <v>3.6400000000000002E-2</v>
      </c>
      <c r="D15" s="273">
        <v>22442978</v>
      </c>
    </row>
    <row r="16" spans="2:6" x14ac:dyDescent="0.25">
      <c r="B16" s="79" t="s">
        <v>29</v>
      </c>
      <c r="C16" s="274"/>
      <c r="D16" s="272">
        <f>SUM(D8:D15)</f>
        <v>639838633</v>
      </c>
      <c r="F16" s="281"/>
    </row>
    <row r="17" spans="2:4" x14ac:dyDescent="0.25">
      <c r="B17" s="76"/>
      <c r="C17" s="43"/>
      <c r="D17" s="43"/>
    </row>
    <row r="18" spans="2:4" x14ac:dyDescent="0.25">
      <c r="B18" s="29" t="s">
        <v>103</v>
      </c>
      <c r="C18" s="105"/>
      <c r="D18" s="80">
        <f>SUM(D9:D15)</f>
        <v>61549544</v>
      </c>
    </row>
    <row r="19" spans="2:4" x14ac:dyDescent="0.25">
      <c r="B19" s="29" t="s">
        <v>104</v>
      </c>
      <c r="C19" s="276">
        <f>D18/D8</f>
        <v>0.10643386702390299</v>
      </c>
      <c r="D19" s="106"/>
    </row>
    <row r="20" spans="2:4" x14ac:dyDescent="0.25">
      <c r="B20" s="76" t="s">
        <v>105</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pageSetUpPr fitToPage="1"/>
  </sheetPr>
  <dimension ref="B1:H19"/>
  <sheetViews>
    <sheetView showGridLines="0" zoomScale="90" zoomScaleNormal="90" workbookViewId="0">
      <selection activeCell="D8" sqref="D8:D9"/>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9" max="9" width="11.140625" bestFit="1" customWidth="1"/>
  </cols>
  <sheetData>
    <row r="1" spans="2:8" x14ac:dyDescent="0.25">
      <c r="B1" s="338" t="s">
        <v>106</v>
      </c>
      <c r="C1" s="338"/>
      <c r="D1" s="338"/>
      <c r="E1" s="338"/>
      <c r="F1" s="338"/>
      <c r="G1" s="338"/>
    </row>
    <row r="2" spans="2:8" ht="18.75" x14ac:dyDescent="0.3">
      <c r="B2" s="381" t="s">
        <v>13</v>
      </c>
      <c r="C2" s="382"/>
      <c r="D2" s="382"/>
      <c r="E2" s="382"/>
      <c r="F2" s="382"/>
      <c r="G2" s="383"/>
    </row>
    <row r="3" spans="2:8" ht="18.75" x14ac:dyDescent="0.3">
      <c r="B3" s="375" t="s">
        <v>107</v>
      </c>
      <c r="C3" s="376"/>
      <c r="D3" s="376"/>
      <c r="E3" s="376"/>
      <c r="F3" s="376"/>
      <c r="G3" s="377"/>
    </row>
    <row r="4" spans="2:8" ht="63" customHeight="1" x14ac:dyDescent="0.25">
      <c r="B4" s="384" t="s">
        <v>215</v>
      </c>
      <c r="C4" s="384"/>
      <c r="D4" s="384"/>
      <c r="E4" s="384"/>
      <c r="F4" s="384"/>
      <c r="G4" s="384"/>
    </row>
    <row r="5" spans="2:8" ht="17.45" customHeight="1" x14ac:dyDescent="0.25">
      <c r="B5" s="46" t="s">
        <v>108</v>
      </c>
      <c r="C5" s="385" t="s">
        <v>109</v>
      </c>
      <c r="D5" s="386"/>
      <c r="E5" s="386"/>
      <c r="F5" s="387"/>
      <c r="G5" s="57" t="s">
        <v>110</v>
      </c>
    </row>
    <row r="6" spans="2:8" ht="31.5" customHeight="1" x14ac:dyDescent="0.25">
      <c r="B6" s="16"/>
      <c r="C6" s="48" t="s">
        <v>111</v>
      </c>
      <c r="D6" s="49" t="s">
        <v>112</v>
      </c>
      <c r="E6" s="247" t="s">
        <v>113</v>
      </c>
      <c r="F6" s="247" t="s">
        <v>244</v>
      </c>
      <c r="G6" s="16"/>
    </row>
    <row r="7" spans="2:8" ht="31.5" customHeight="1" x14ac:dyDescent="0.25">
      <c r="B7" s="248" t="s">
        <v>114</v>
      </c>
      <c r="C7" s="249">
        <v>0.02</v>
      </c>
      <c r="D7" s="250">
        <v>500000</v>
      </c>
      <c r="E7" s="251">
        <v>0.6</v>
      </c>
      <c r="F7" s="252">
        <f>C7*E7</f>
        <v>1.2E-2</v>
      </c>
      <c r="G7" s="248" t="s">
        <v>115</v>
      </c>
    </row>
    <row r="8" spans="2:8" ht="27" customHeight="1" x14ac:dyDescent="0.25">
      <c r="B8" s="16" t="s">
        <v>116</v>
      </c>
      <c r="C8" s="9">
        <v>1.9E-2</v>
      </c>
      <c r="D8" s="49">
        <v>666660</v>
      </c>
      <c r="E8" s="279">
        <f>D8/$D$16</f>
        <v>7.1468743824134248E-2</v>
      </c>
      <c r="F8" s="279">
        <f>C8*E8</f>
        <v>1.3579061326585507E-3</v>
      </c>
      <c r="G8" s="16"/>
    </row>
    <row r="9" spans="2:8" ht="27" customHeight="1" x14ac:dyDescent="0.25">
      <c r="B9" s="16" t="s">
        <v>117</v>
      </c>
      <c r="C9" s="277">
        <v>0.06</v>
      </c>
      <c r="D9" s="284">
        <f>1275000+2028609+408446+115000</f>
        <v>3827055</v>
      </c>
      <c r="E9" s="279">
        <f t="shared" ref="E9:E14" si="0">D9/$D$16</f>
        <v>0.41027632285703669</v>
      </c>
      <c r="F9" s="279">
        <f t="shared" ref="F9:F15" si="1">C9*E9</f>
        <v>2.4616579371422202E-2</v>
      </c>
      <c r="G9" s="283" t="s">
        <v>278</v>
      </c>
      <c r="H9" s="298"/>
    </row>
    <row r="10" spans="2:8" ht="27" customHeight="1" x14ac:dyDescent="0.25">
      <c r="B10" s="16" t="s">
        <v>47</v>
      </c>
      <c r="C10" s="48">
        <v>5.8999999999999997E-2</v>
      </c>
      <c r="D10" s="49">
        <f>776157.87+349440.94</f>
        <v>1125598.81</v>
      </c>
      <c r="E10" s="279">
        <f t="shared" si="0"/>
        <v>0.12066890619002243</v>
      </c>
      <c r="F10" s="279">
        <f t="shared" si="1"/>
        <v>7.1194654652113236E-3</v>
      </c>
      <c r="G10" s="283" t="s">
        <v>259</v>
      </c>
    </row>
    <row r="11" spans="2:8" ht="27" customHeight="1" x14ac:dyDescent="0.25">
      <c r="B11" s="16" t="s">
        <v>118</v>
      </c>
      <c r="C11" s="48">
        <v>7.7799999999999994E-2</v>
      </c>
      <c r="D11" s="49">
        <f>1829042-1171979</f>
        <v>657063</v>
      </c>
      <c r="E11" s="279">
        <f t="shared" si="0"/>
        <v>7.0439905234028016E-2</v>
      </c>
      <c r="F11" s="279">
        <f t="shared" si="1"/>
        <v>5.4802246272073795E-3</v>
      </c>
      <c r="G11" s="16" t="s">
        <v>258</v>
      </c>
    </row>
    <row r="12" spans="2:8" ht="27" customHeight="1" x14ac:dyDescent="0.25">
      <c r="B12" s="16" t="s">
        <v>257</v>
      </c>
      <c r="C12" s="48">
        <v>1</v>
      </c>
      <c r="D12" s="49">
        <v>1042800</v>
      </c>
      <c r="E12" s="279">
        <f t="shared" si="0"/>
        <v>0.11179252701498094</v>
      </c>
      <c r="F12" s="279">
        <f t="shared" si="1"/>
        <v>0.11179252701498094</v>
      </c>
      <c r="G12" s="283" t="s">
        <v>260</v>
      </c>
    </row>
    <row r="13" spans="2:8" ht="27" customHeight="1" x14ac:dyDescent="0.25">
      <c r="B13" s="30" t="s">
        <v>261</v>
      </c>
      <c r="C13" s="9">
        <v>3.5000000000000003E-2</v>
      </c>
      <c r="D13" s="284">
        <v>612000</v>
      </c>
      <c r="E13" s="279">
        <f t="shared" si="0"/>
        <v>6.5608962920184435E-2</v>
      </c>
      <c r="F13" s="279">
        <f t="shared" si="1"/>
        <v>2.2963137022064557E-3</v>
      </c>
      <c r="G13" s="16"/>
    </row>
    <row r="14" spans="2:8" ht="27" customHeight="1" x14ac:dyDescent="0.25">
      <c r="B14" s="30" t="s">
        <v>277</v>
      </c>
      <c r="C14" s="9">
        <v>0.19900000000000001</v>
      </c>
      <c r="D14" s="301">
        <v>1396817</v>
      </c>
      <c r="E14" s="279">
        <f t="shared" si="0"/>
        <v>0.14974463195961318</v>
      </c>
      <c r="F14" s="279">
        <f t="shared" si="1"/>
        <v>2.9799181759963024E-2</v>
      </c>
      <c r="G14" s="16"/>
    </row>
    <row r="15" spans="2:8" ht="27" customHeight="1" x14ac:dyDescent="0.25">
      <c r="B15" s="30" t="s">
        <v>119</v>
      </c>
      <c r="C15" s="48"/>
      <c r="D15" s="49"/>
      <c r="E15" s="48"/>
      <c r="F15" s="279">
        <f t="shared" si="1"/>
        <v>0</v>
      </c>
      <c r="G15" s="16"/>
    </row>
    <row r="16" spans="2:8" x14ac:dyDescent="0.25">
      <c r="B16" s="11" t="s">
        <v>18</v>
      </c>
      <c r="C16" s="324"/>
      <c r="D16" s="78">
        <f>SUM(D8:D15)</f>
        <v>9327993.8100000005</v>
      </c>
      <c r="E16" s="324">
        <f>SUM(E8:E14)</f>
        <v>0.99999999999999989</v>
      </c>
      <c r="F16" s="78"/>
      <c r="G16" s="11"/>
    </row>
    <row r="17" spans="2:6" x14ac:dyDescent="0.25">
      <c r="B17" s="18"/>
      <c r="E17" t="s">
        <v>120</v>
      </c>
    </row>
    <row r="19" spans="2:6" x14ac:dyDescent="0.25">
      <c r="B19" s="380" t="s">
        <v>121</v>
      </c>
      <c r="C19" s="380"/>
      <c r="D19" s="380"/>
      <c r="E19" s="380"/>
      <c r="F19" s="256"/>
    </row>
  </sheetData>
  <mergeCells count="6">
    <mergeCell ref="B19:E19"/>
    <mergeCell ref="B1:G1"/>
    <mergeCell ref="B2:G2"/>
    <mergeCell ref="B4:G4"/>
    <mergeCell ref="C5:F5"/>
    <mergeCell ref="B3:G3"/>
  </mergeCells>
  <pageMargins left="0.2" right="0.2" top="0.75" bottom="0.75" header="0.3" footer="0.3"/>
  <pageSetup orientation="landscape" r:id="rId1"/>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DD81-7C75-4881-A377-7DA128E786DE}">
  <sheetPr>
    <tabColor rgb="FFFFC000"/>
    <pageSetUpPr fitToPage="1"/>
  </sheetPr>
  <dimension ref="A1:F80"/>
  <sheetViews>
    <sheetView showGridLines="0" topLeftCell="A12" zoomScale="73" zoomScaleNormal="73" zoomScaleSheetLayoutView="30" workbookViewId="0">
      <selection activeCell="K51" sqref="K51"/>
    </sheetView>
  </sheetViews>
  <sheetFormatPr defaultColWidth="9.140625" defaultRowHeight="15" outlineLevelRow="1" x14ac:dyDescent="0.25"/>
  <cols>
    <col min="1" max="1" width="1.5703125" style="199" customWidth="1"/>
    <col min="2" max="2" width="113.5703125" style="200" customWidth="1"/>
    <col min="3" max="3" width="59.85546875" style="200" customWidth="1"/>
    <col min="4" max="4" width="59.85546875" style="22" customWidth="1"/>
    <col min="5" max="5" width="2.85546875" style="22" customWidth="1"/>
    <col min="6" max="16384" width="9.140625" style="22"/>
  </cols>
  <sheetData>
    <row r="1" spans="1:6" s="116" customFormat="1" x14ac:dyDescent="0.25">
      <c r="A1" s="115"/>
    </row>
    <row r="2" spans="1:6" s="1" customFormat="1" ht="31.5" x14ac:dyDescent="0.5">
      <c r="B2" s="396" t="s">
        <v>122</v>
      </c>
      <c r="C2" s="396"/>
      <c r="D2" s="396"/>
      <c r="E2" s="214"/>
      <c r="F2" s="214"/>
    </row>
    <row r="3" spans="1:6" s="1" customFormat="1" ht="31.5" x14ac:dyDescent="0.5">
      <c r="B3" s="393" t="s">
        <v>2</v>
      </c>
      <c r="C3" s="394"/>
      <c r="D3" s="395"/>
      <c r="E3" s="118"/>
      <c r="F3" s="118"/>
    </row>
    <row r="4" spans="1:6" s="1" customFormat="1" ht="31.5" x14ac:dyDescent="0.5">
      <c r="B4" s="397" t="s">
        <v>123</v>
      </c>
      <c r="C4" s="398"/>
      <c r="D4" s="399"/>
    </row>
    <row r="5" spans="1:6" s="62" customFormat="1" ht="18.75" x14ac:dyDescent="0.3">
      <c r="B5" s="213"/>
      <c r="C5" s="213"/>
      <c r="D5" s="213"/>
      <c r="E5" s="213"/>
      <c r="F5" s="213"/>
    </row>
    <row r="6" spans="1:6" s="62" customFormat="1" ht="18.75" x14ac:dyDescent="0.3">
      <c r="B6" s="213"/>
      <c r="C6" s="213"/>
      <c r="D6" s="213"/>
      <c r="E6" s="213"/>
      <c r="F6" s="213"/>
    </row>
    <row r="7" spans="1:6" s="118" customFormat="1" ht="31.5" x14ac:dyDescent="0.5">
      <c r="A7" s="117"/>
      <c r="B7" s="388" t="s">
        <v>124</v>
      </c>
      <c r="C7" s="389"/>
      <c r="D7" s="390"/>
    </row>
    <row r="8" spans="1:6" s="122" customFormat="1" ht="31.5" x14ac:dyDescent="0.5">
      <c r="A8" s="119"/>
      <c r="B8" s="120"/>
      <c r="C8" s="206"/>
      <c r="D8" s="121"/>
    </row>
    <row r="9" spans="1:6" s="118" customFormat="1" ht="48" customHeight="1" x14ac:dyDescent="0.5">
      <c r="A9" s="117"/>
      <c r="B9" s="123" t="s">
        <v>125</v>
      </c>
      <c r="C9" s="207"/>
      <c r="D9" s="209"/>
    </row>
    <row r="10" spans="1:6" s="125" customFormat="1" ht="15.75" customHeight="1" x14ac:dyDescent="0.4">
      <c r="A10" s="124"/>
      <c r="B10" s="391"/>
      <c r="C10" s="392"/>
      <c r="D10" s="392"/>
    </row>
    <row r="11" spans="1:6" s="125" customFormat="1" ht="24.75" customHeight="1" x14ac:dyDescent="0.4">
      <c r="A11" s="124"/>
      <c r="B11" s="257"/>
      <c r="C11" s="258"/>
      <c r="D11" s="258"/>
    </row>
    <row r="12" spans="1:6" s="129" customFormat="1" ht="11.25" customHeight="1" x14ac:dyDescent="0.4">
      <c r="A12" s="126"/>
      <c r="B12" s="127"/>
      <c r="C12" s="208"/>
      <c r="D12" s="128"/>
    </row>
    <row r="13" spans="1:6" s="134" customFormat="1" ht="104.25" customHeight="1" x14ac:dyDescent="0.25">
      <c r="A13" s="130"/>
      <c r="B13" s="131" t="s">
        <v>126</v>
      </c>
      <c r="C13" s="132" t="s">
        <v>127</v>
      </c>
      <c r="D13" s="132" t="s">
        <v>128</v>
      </c>
      <c r="E13" s="133"/>
    </row>
    <row r="14" spans="1:6" s="122" customFormat="1" ht="31.5" x14ac:dyDescent="0.5">
      <c r="A14" s="135"/>
      <c r="B14" s="136" t="s">
        <v>129</v>
      </c>
      <c r="C14" s="137"/>
      <c r="D14" s="138"/>
    </row>
    <row r="15" spans="1:6" s="118" customFormat="1" ht="30" hidden="1" customHeight="1" x14ac:dyDescent="0.5">
      <c r="A15" s="139"/>
      <c r="B15" s="140" t="s">
        <v>130</v>
      </c>
      <c r="C15" s="141"/>
      <c r="D15" s="142"/>
      <c r="E15" s="143"/>
    </row>
    <row r="16" spans="1:6" s="122" customFormat="1" ht="30" hidden="1" customHeight="1" x14ac:dyDescent="0.5">
      <c r="A16" s="135"/>
      <c r="B16" s="144" t="s">
        <v>131</v>
      </c>
      <c r="C16" s="145"/>
      <c r="D16" s="146"/>
      <c r="E16" s="147"/>
    </row>
    <row r="17" spans="1:6" s="122" customFormat="1" ht="30" hidden="1" customHeight="1" x14ac:dyDescent="0.5">
      <c r="A17" s="135"/>
      <c r="B17" s="148" t="s">
        <v>132</v>
      </c>
      <c r="C17" s="145"/>
      <c r="D17" s="146"/>
      <c r="E17" s="147"/>
    </row>
    <row r="18" spans="1:6" s="122" customFormat="1" ht="30" hidden="1" customHeight="1" x14ac:dyDescent="0.5">
      <c r="A18" s="135"/>
      <c r="B18" s="144" t="s">
        <v>133</v>
      </c>
      <c r="C18" s="145"/>
      <c r="D18" s="146"/>
      <c r="E18" s="147"/>
    </row>
    <row r="19" spans="1:6" s="122" customFormat="1" ht="30" hidden="1" customHeight="1" x14ac:dyDescent="0.5">
      <c r="A19" s="135"/>
      <c r="B19" s="144" t="s">
        <v>134</v>
      </c>
      <c r="C19" s="145"/>
      <c r="D19" s="146"/>
      <c r="E19" s="147"/>
    </row>
    <row r="20" spans="1:6" s="122" customFormat="1" ht="30" hidden="1" customHeight="1" x14ac:dyDescent="0.5">
      <c r="A20" s="135"/>
      <c r="B20" s="144" t="s">
        <v>135</v>
      </c>
      <c r="C20" s="145"/>
      <c r="D20" s="146"/>
      <c r="E20" s="147"/>
    </row>
    <row r="21" spans="1:6" s="118" customFormat="1" ht="30" customHeight="1" x14ac:dyDescent="0.5">
      <c r="A21" s="139"/>
      <c r="B21" s="149" t="s">
        <v>136</v>
      </c>
      <c r="C21" s="150">
        <f>59615+2184233</f>
        <v>2243848</v>
      </c>
      <c r="D21" s="150">
        <v>479303</v>
      </c>
      <c r="E21" s="143"/>
    </row>
    <row r="22" spans="1:6" s="122" customFormat="1" ht="30" customHeight="1" x14ac:dyDescent="0.5">
      <c r="A22" s="135"/>
      <c r="B22" s="151" t="s">
        <v>137</v>
      </c>
      <c r="C22" s="150">
        <v>0</v>
      </c>
      <c r="D22" s="152">
        <v>0</v>
      </c>
      <c r="E22" s="143"/>
    </row>
    <row r="23" spans="1:6" s="118" customFormat="1" ht="30" customHeight="1" x14ac:dyDescent="0.5">
      <c r="A23" s="139"/>
      <c r="B23" s="136" t="s">
        <v>138</v>
      </c>
      <c r="C23" s="153">
        <f>SUM(C21:C22)</f>
        <v>2243848</v>
      </c>
      <c r="D23" s="153">
        <f>SUM(D21:D22)</f>
        <v>479303</v>
      </c>
      <c r="E23" s="143"/>
    </row>
    <row r="24" spans="1:6" s="159" customFormat="1" ht="15" customHeight="1" x14ac:dyDescent="0.5">
      <c r="A24" s="154"/>
      <c r="B24" s="155"/>
      <c r="C24" s="156"/>
      <c r="D24" s="157"/>
      <c r="E24" s="158"/>
    </row>
    <row r="25" spans="1:6" s="159" customFormat="1" ht="30" customHeight="1" x14ac:dyDescent="0.5">
      <c r="A25" s="154"/>
      <c r="B25" s="160" t="s">
        <v>139</v>
      </c>
      <c r="C25" s="156">
        <v>882149</v>
      </c>
      <c r="D25" s="157">
        <v>0</v>
      </c>
      <c r="E25" s="158"/>
      <c r="F25" s="294"/>
    </row>
    <row r="26" spans="1:6" s="159" customFormat="1" ht="30" customHeight="1" x14ac:dyDescent="0.5">
      <c r="A26" s="154"/>
      <c r="B26" s="161" t="s">
        <v>81</v>
      </c>
      <c r="C26" s="156"/>
      <c r="D26" s="157"/>
      <c r="E26" s="158"/>
    </row>
    <row r="27" spans="1:6" s="118" customFormat="1" ht="30" customHeight="1" x14ac:dyDescent="0.5">
      <c r="A27" s="139"/>
      <c r="B27" s="162" t="s">
        <v>140</v>
      </c>
      <c r="C27" s="141">
        <f>SUM(C24:C26)</f>
        <v>882149</v>
      </c>
      <c r="D27" s="141">
        <f>SUM(D24:D26)</f>
        <v>0</v>
      </c>
      <c r="E27" s="143"/>
    </row>
    <row r="28" spans="1:6" s="122" customFormat="1" ht="30" customHeight="1" x14ac:dyDescent="0.5">
      <c r="A28" s="135"/>
      <c r="B28" s="163" t="s">
        <v>141</v>
      </c>
      <c r="C28" s="164">
        <f>C23+C27</f>
        <v>3125997</v>
      </c>
      <c r="D28" s="164">
        <f>D23+D27</f>
        <v>479303</v>
      </c>
      <c r="E28" s="143"/>
    </row>
    <row r="29" spans="1:6" s="159" customFormat="1" ht="27" hidden="1" customHeight="1" x14ac:dyDescent="0.5">
      <c r="A29" s="154"/>
      <c r="B29" s="165" t="s">
        <v>37</v>
      </c>
      <c r="C29" s="166"/>
      <c r="D29" s="167"/>
      <c r="E29" s="168"/>
    </row>
    <row r="30" spans="1:6" s="122" customFormat="1" ht="30" hidden="1" customHeight="1" x14ac:dyDescent="0.5">
      <c r="A30" s="135"/>
      <c r="B30" s="169" t="s">
        <v>142</v>
      </c>
      <c r="C30" s="156"/>
      <c r="D30" s="146"/>
    </row>
    <row r="31" spans="1:6" s="122" customFormat="1" ht="30" hidden="1" customHeight="1" x14ac:dyDescent="0.5">
      <c r="A31" s="135"/>
      <c r="B31" s="170" t="s">
        <v>143</v>
      </c>
      <c r="C31" s="156"/>
      <c r="D31" s="146"/>
    </row>
    <row r="32" spans="1:6" s="122" customFormat="1" ht="30" hidden="1" customHeight="1" x14ac:dyDescent="0.5">
      <c r="A32" s="135"/>
      <c r="B32" s="170" t="s">
        <v>48</v>
      </c>
      <c r="C32" s="156"/>
      <c r="D32" s="146"/>
    </row>
    <row r="33" spans="1:5" s="122" customFormat="1" ht="30" hidden="1" customHeight="1" x14ac:dyDescent="0.5">
      <c r="A33" s="135"/>
      <c r="B33" s="170" t="s">
        <v>144</v>
      </c>
      <c r="C33" s="156"/>
      <c r="D33" s="146"/>
    </row>
    <row r="34" spans="1:5" s="122" customFormat="1" ht="30" hidden="1" customHeight="1" x14ac:dyDescent="0.5">
      <c r="A34" s="135"/>
      <c r="B34" s="170" t="s">
        <v>145</v>
      </c>
      <c r="C34" s="156"/>
      <c r="D34" s="146"/>
    </row>
    <row r="35" spans="1:5" s="122" customFormat="1" ht="30" hidden="1" customHeight="1" x14ac:dyDescent="0.5">
      <c r="A35" s="135"/>
      <c r="B35" s="171" t="s">
        <v>146</v>
      </c>
      <c r="C35" s="156"/>
      <c r="D35" s="146"/>
    </row>
    <row r="36" spans="1:5" s="122" customFormat="1" ht="30" customHeight="1" x14ac:dyDescent="0.5">
      <c r="A36" s="135"/>
      <c r="B36" s="172" t="s">
        <v>147</v>
      </c>
      <c r="C36" s="150">
        <f>882149+1599600</f>
        <v>2481749</v>
      </c>
      <c r="D36" s="150">
        <v>359130</v>
      </c>
      <c r="E36" s="143"/>
    </row>
    <row r="37" spans="1:5" s="122" customFormat="1" ht="7.9" customHeight="1" x14ac:dyDescent="0.5">
      <c r="A37" s="135"/>
      <c r="B37" s="173"/>
      <c r="C37" s="174"/>
      <c r="D37" s="175"/>
    </row>
    <row r="38" spans="1:5" s="122" customFormat="1" ht="30" customHeight="1" x14ac:dyDescent="0.5">
      <c r="A38" s="135"/>
      <c r="B38" s="163" t="s">
        <v>148</v>
      </c>
      <c r="C38" s="164">
        <f>C28-C36</f>
        <v>644248</v>
      </c>
      <c r="D38" s="164">
        <f>D28-D36</f>
        <v>120173</v>
      </c>
      <c r="E38" s="143"/>
    </row>
    <row r="39" spans="1:5" s="179" customFormat="1" ht="30" customHeight="1" x14ac:dyDescent="0.5">
      <c r="A39" s="176"/>
      <c r="B39" s="177"/>
      <c r="C39" s="178"/>
      <c r="D39" s="175"/>
      <c r="E39" s="143"/>
    </row>
    <row r="40" spans="1:5" s="118" customFormat="1" ht="30" customHeight="1" x14ac:dyDescent="0.5">
      <c r="A40" s="139"/>
      <c r="B40" s="180" t="s">
        <v>149</v>
      </c>
      <c r="C40" s="181">
        <v>0</v>
      </c>
      <c r="D40" s="146">
        <v>0</v>
      </c>
      <c r="E40" s="143"/>
    </row>
    <row r="41" spans="1:5" s="179" customFormat="1" ht="30" customHeight="1" x14ac:dyDescent="0.5">
      <c r="A41" s="176"/>
      <c r="B41" s="177"/>
      <c r="C41" s="178"/>
      <c r="D41" s="175"/>
      <c r="E41" s="143"/>
    </row>
    <row r="42" spans="1:5" s="122" customFormat="1" ht="30" customHeight="1" thickBot="1" x14ac:dyDescent="0.55000000000000004">
      <c r="A42" s="135"/>
      <c r="B42" s="182" t="s">
        <v>150</v>
      </c>
      <c r="C42" s="183">
        <f>C38+C40</f>
        <v>644248</v>
      </c>
      <c r="D42" s="183">
        <f>D38+D40</f>
        <v>120173</v>
      </c>
      <c r="E42" s="143"/>
    </row>
    <row r="43" spans="1:5" s="122" customFormat="1" ht="30" customHeight="1" thickTop="1" x14ac:dyDescent="0.5">
      <c r="A43" s="135"/>
      <c r="B43" s="184"/>
      <c r="C43" s="185"/>
      <c r="D43" s="186"/>
      <c r="E43" s="143"/>
    </row>
    <row r="44" spans="1:5" s="122" customFormat="1" ht="30" customHeight="1" outlineLevel="1" x14ac:dyDescent="0.5">
      <c r="A44" s="135"/>
      <c r="B44" s="187" t="s">
        <v>151</v>
      </c>
      <c r="C44" s="188"/>
      <c r="D44" s="189"/>
      <c r="E44" s="143"/>
    </row>
    <row r="45" spans="1:5" s="118" customFormat="1" ht="30" customHeight="1" outlineLevel="1" x14ac:dyDescent="0.5">
      <c r="A45" s="139"/>
      <c r="B45" s="190" t="s">
        <v>152</v>
      </c>
      <c r="C45" s="191">
        <f t="shared" ref="C45" si="0">C38/C28</f>
        <v>0.20609360789533707</v>
      </c>
      <c r="D45" s="192">
        <f t="shared" ref="D45" si="1">D38/D28</f>
        <v>0.25072448951915594</v>
      </c>
      <c r="E45" s="143"/>
    </row>
    <row r="46" spans="1:5" s="197" customFormat="1" ht="30" customHeight="1" outlineLevel="1" thickBot="1" x14ac:dyDescent="0.55000000000000004">
      <c r="A46" s="193"/>
      <c r="B46" s="194" t="s">
        <v>153</v>
      </c>
      <c r="C46" s="195">
        <f t="shared" ref="C46" si="2">C42/(C28+C40)</f>
        <v>0.20609360789533707</v>
      </c>
      <c r="D46" s="196">
        <f t="shared" ref="D46" si="3">D42/(D28+D40)</f>
        <v>0.25072448951915594</v>
      </c>
    </row>
    <row r="47" spans="1:5" s="122" customFormat="1" ht="30" customHeight="1" x14ac:dyDescent="0.5">
      <c r="A47" s="119"/>
      <c r="B47" s="198"/>
      <c r="C47" s="198"/>
    </row>
    <row r="48" spans="1:5" s="122" customFormat="1" ht="30" customHeight="1" x14ac:dyDescent="0.5">
      <c r="A48" s="119"/>
      <c r="B48" s="198"/>
      <c r="C48" s="198"/>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199" customFormat="1" ht="30" customHeight="1" x14ac:dyDescent="0.25">
      <c r="B54" s="200"/>
      <c r="C54" s="200"/>
      <c r="D54" s="22"/>
      <c r="E54" s="22"/>
    </row>
    <row r="55" spans="2:5" s="199" customFormat="1" ht="30" customHeight="1" x14ac:dyDescent="0.25">
      <c r="B55" s="200"/>
      <c r="C55" s="200"/>
      <c r="D55" s="22"/>
      <c r="E55" s="22"/>
    </row>
    <row r="56" spans="2:5" s="199" customFormat="1" ht="30" customHeight="1" x14ac:dyDescent="0.25">
      <c r="B56" s="200"/>
      <c r="C56" s="200"/>
      <c r="D56" s="22"/>
      <c r="E56" s="22"/>
    </row>
    <row r="57" spans="2:5" s="199" customFormat="1" ht="30" customHeight="1" x14ac:dyDescent="0.25">
      <c r="B57" s="200"/>
      <c r="C57" s="200"/>
      <c r="D57" s="22"/>
      <c r="E57" s="22"/>
    </row>
    <row r="58" spans="2:5" s="199" customFormat="1" ht="30" customHeight="1" x14ac:dyDescent="0.25">
      <c r="B58" s="200"/>
      <c r="C58" s="200"/>
      <c r="D58" s="22"/>
      <c r="E58" s="22"/>
    </row>
    <row r="59" spans="2:5" s="199" customFormat="1" ht="30" customHeight="1" x14ac:dyDescent="0.25">
      <c r="B59" s="200"/>
      <c r="C59" s="200"/>
      <c r="D59" s="22"/>
      <c r="E59" s="22"/>
    </row>
    <row r="60" spans="2:5" s="199" customFormat="1" ht="30" customHeight="1" x14ac:dyDescent="0.25">
      <c r="B60" s="200"/>
      <c r="C60" s="200"/>
      <c r="D60" s="22"/>
      <c r="E60" s="22"/>
    </row>
    <row r="61" spans="2:5" s="199" customFormat="1" ht="30" customHeight="1" x14ac:dyDescent="0.25">
      <c r="B61" s="200"/>
      <c r="C61" s="200"/>
      <c r="D61" s="22"/>
      <c r="E61" s="22"/>
    </row>
    <row r="62" spans="2:5" s="199" customFormat="1" ht="30" customHeight="1" x14ac:dyDescent="0.25">
      <c r="B62" s="200"/>
      <c r="C62" s="200"/>
      <c r="D62" s="22"/>
      <c r="E62" s="22"/>
    </row>
    <row r="63" spans="2:5" s="199" customFormat="1" ht="30" customHeight="1" x14ac:dyDescent="0.25">
      <c r="B63" s="200"/>
      <c r="C63" s="200"/>
      <c r="D63" s="22"/>
      <c r="E63" s="22"/>
    </row>
    <row r="64" spans="2:5" s="199" customFormat="1" ht="30" customHeight="1" x14ac:dyDescent="0.25">
      <c r="B64" s="200"/>
      <c r="C64" s="200"/>
      <c r="D64" s="22"/>
      <c r="E64" s="22"/>
    </row>
    <row r="65" spans="1:5" s="199" customFormat="1" ht="30" customHeight="1" x14ac:dyDescent="0.25">
      <c r="B65" s="200"/>
      <c r="C65" s="200"/>
      <c r="D65" s="22"/>
      <c r="E65" s="22"/>
    </row>
    <row r="66" spans="1:5" s="199" customFormat="1" ht="30" customHeight="1" x14ac:dyDescent="0.25">
      <c r="B66" s="200"/>
      <c r="C66" s="200"/>
      <c r="D66" s="22"/>
      <c r="E66" s="22"/>
    </row>
    <row r="67" spans="1:5" s="199" customFormat="1" ht="30" customHeight="1" x14ac:dyDescent="0.25">
      <c r="B67" s="200"/>
      <c r="C67" s="200"/>
      <c r="D67" s="22"/>
      <c r="E67" s="22"/>
    </row>
    <row r="68" spans="1:5" s="199" customFormat="1" ht="30" customHeight="1" x14ac:dyDescent="0.25">
      <c r="B68" s="200"/>
      <c r="C68" s="200"/>
      <c r="D68" s="22"/>
      <c r="E68" s="22"/>
    </row>
    <row r="69" spans="1:5" s="199" customFormat="1" ht="30" customHeight="1" x14ac:dyDescent="0.25">
      <c r="B69" s="200"/>
      <c r="C69" s="200"/>
      <c r="D69" s="22"/>
      <c r="E69" s="22"/>
    </row>
    <row r="70" spans="1:5" ht="30" customHeight="1" x14ac:dyDescent="0.25"/>
    <row r="71" spans="1:5" ht="30" customHeight="1" x14ac:dyDescent="0.25"/>
    <row r="72" spans="1:5" ht="30" customHeight="1" x14ac:dyDescent="0.25"/>
    <row r="73" spans="1:5" ht="30" customHeight="1" x14ac:dyDescent="0.25"/>
    <row r="79" spans="1:5" s="204" customFormat="1" x14ac:dyDescent="0.25">
      <c r="A79" s="201"/>
      <c r="B79" s="202" t="s">
        <v>154</v>
      </c>
      <c r="C79" s="202"/>
      <c r="D79" s="203"/>
    </row>
    <row r="80" spans="1:5" x14ac:dyDescent="0.25">
      <c r="B80" s="205"/>
      <c r="C80" s="205"/>
      <c r="D80" s="204"/>
    </row>
  </sheetData>
  <mergeCells count="5">
    <mergeCell ref="B7:D7"/>
    <mergeCell ref="B10:D10"/>
    <mergeCell ref="B3:D3"/>
    <mergeCell ref="B2:D2"/>
    <mergeCell ref="B4:D4"/>
  </mergeCells>
  <pageMargins left="0.45" right="0.45" top="0.25" bottom="0.5" header="0.3" footer="0.3"/>
  <pageSetup scale="55"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16"/>
  <sheetViews>
    <sheetView showGridLines="0" workbookViewId="0">
      <selection activeCell="M25" sqref="M25"/>
    </sheetView>
  </sheetViews>
  <sheetFormatPr defaultColWidth="8.85546875" defaultRowHeight="15" x14ac:dyDescent="0.25"/>
  <cols>
    <col min="1" max="1" width="8.85546875" style="1"/>
    <col min="2" max="2" width="32.28515625" style="40" customWidth="1"/>
    <col min="3" max="4" width="22.28515625" style="40" customWidth="1"/>
    <col min="5" max="5" width="17.5703125" style="40" customWidth="1"/>
    <col min="6" max="6" width="19.5703125" style="40" customWidth="1"/>
    <col min="7" max="16384" width="8.85546875" style="1"/>
  </cols>
  <sheetData>
    <row r="1" spans="2:6" s="109" customFormat="1" x14ac:dyDescent="0.25">
      <c r="B1" s="110"/>
      <c r="C1" s="110"/>
      <c r="D1" s="110"/>
      <c r="E1" s="110"/>
      <c r="F1" s="110"/>
    </row>
    <row r="2" spans="2:6" ht="15.75" x14ac:dyDescent="0.25">
      <c r="B2" s="401" t="s">
        <v>155</v>
      </c>
      <c r="C2" s="401"/>
      <c r="D2" s="401"/>
      <c r="E2" s="401"/>
      <c r="F2" s="401"/>
    </row>
    <row r="3" spans="2:6" ht="18.75" x14ac:dyDescent="0.3">
      <c r="B3" s="402" t="s">
        <v>2</v>
      </c>
      <c r="C3" s="403"/>
      <c r="D3" s="403"/>
      <c r="E3" s="403"/>
      <c r="F3" s="404"/>
    </row>
    <row r="4" spans="2:6" ht="18.75" x14ac:dyDescent="0.3">
      <c r="B4" s="375" t="s">
        <v>156</v>
      </c>
      <c r="C4" s="376"/>
      <c r="D4" s="376"/>
      <c r="E4" s="376"/>
      <c r="F4" s="377"/>
    </row>
    <row r="5" spans="2:6" ht="15.75" x14ac:dyDescent="0.25">
      <c r="B5" s="31"/>
      <c r="C5" s="31"/>
      <c r="D5" s="31"/>
      <c r="E5" s="31"/>
      <c r="F5" s="31"/>
    </row>
    <row r="6" spans="2:6" ht="28.5" customHeight="1" x14ac:dyDescent="0.25">
      <c r="B6" s="400" t="s">
        <v>157</v>
      </c>
      <c r="C6" s="400"/>
      <c r="D6" s="400"/>
      <c r="E6" s="400"/>
      <c r="F6" s="400"/>
    </row>
    <row r="7" spans="2:6" ht="15.75" x14ac:dyDescent="0.25">
      <c r="B7" s="31"/>
      <c r="C7" s="31"/>
      <c r="D7" s="31"/>
      <c r="E7" s="31"/>
      <c r="F7" s="31"/>
    </row>
    <row r="8" spans="2:6" ht="48" customHeight="1" x14ac:dyDescent="0.25">
      <c r="B8" s="32" t="s">
        <v>158</v>
      </c>
      <c r="C8" s="33" t="s">
        <v>159</v>
      </c>
      <c r="D8" s="33" t="s">
        <v>160</v>
      </c>
      <c r="E8" s="33" t="s">
        <v>161</v>
      </c>
      <c r="F8" s="34" t="s">
        <v>162</v>
      </c>
    </row>
    <row r="9" spans="2:6" ht="25.5" customHeight="1" x14ac:dyDescent="0.25">
      <c r="B9" s="35"/>
      <c r="C9" s="36" t="s">
        <v>163</v>
      </c>
      <c r="D9" s="36" t="s">
        <v>164</v>
      </c>
      <c r="E9" s="36" t="s">
        <v>164</v>
      </c>
      <c r="F9" s="37" t="s">
        <v>165</v>
      </c>
    </row>
    <row r="10" spans="2:6" ht="24" customHeight="1" x14ac:dyDescent="0.25">
      <c r="B10" s="38" t="s">
        <v>166</v>
      </c>
      <c r="C10" s="297" t="s">
        <v>270</v>
      </c>
      <c r="D10" s="303">
        <f>7644+2100</f>
        <v>9744</v>
      </c>
      <c r="E10" s="295">
        <v>18499545</v>
      </c>
      <c r="F10" s="296">
        <v>-276324</v>
      </c>
    </row>
    <row r="11" spans="2:6" ht="15.75" x14ac:dyDescent="0.25">
      <c r="B11" s="38" t="s">
        <v>167</v>
      </c>
      <c r="C11" s="297" t="s">
        <v>270</v>
      </c>
      <c r="D11" s="303">
        <v>7335</v>
      </c>
      <c r="E11" s="295">
        <v>31200000</v>
      </c>
      <c r="F11" s="296">
        <v>0</v>
      </c>
    </row>
    <row r="12" spans="2:6" ht="15.75" x14ac:dyDescent="0.25">
      <c r="B12" s="38" t="s">
        <v>238</v>
      </c>
      <c r="C12" s="297" t="s">
        <v>270</v>
      </c>
      <c r="D12" s="303">
        <v>896</v>
      </c>
      <c r="E12" s="295">
        <v>0</v>
      </c>
      <c r="F12" s="296">
        <v>0</v>
      </c>
    </row>
    <row r="13" spans="2:6" ht="15.75" x14ac:dyDescent="0.25">
      <c r="B13" s="38" t="s">
        <v>168</v>
      </c>
      <c r="C13" s="297" t="s">
        <v>270</v>
      </c>
      <c r="D13" s="303">
        <v>1860</v>
      </c>
      <c r="E13" s="295">
        <v>0</v>
      </c>
      <c r="F13" s="296">
        <v>0</v>
      </c>
    </row>
    <row r="14" spans="2:6" ht="15.75" x14ac:dyDescent="0.25">
      <c r="B14" s="38" t="s">
        <v>169</v>
      </c>
      <c r="C14" s="39"/>
      <c r="D14" s="304">
        <f>SUM(D10:D13)</f>
        <v>19835</v>
      </c>
      <c r="E14" s="295">
        <f t="shared" ref="E14:F14" si="0">SUM(E10:E13)</f>
        <v>49699545</v>
      </c>
      <c r="F14" s="295">
        <f t="shared" si="0"/>
        <v>-276324</v>
      </c>
    </row>
    <row r="15" spans="2:6" ht="15.75" x14ac:dyDescent="0.25">
      <c r="B15" s="31"/>
    </row>
    <row r="16" spans="2:6" ht="15.75" x14ac:dyDescent="0.25">
      <c r="B16" s="41"/>
      <c r="E16" s="42"/>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B2:K36"/>
  <sheetViews>
    <sheetView showGridLines="0" topLeftCell="A4" zoomScaleNormal="100" zoomScaleSheetLayoutView="55" workbookViewId="0">
      <selection activeCell="E26" sqref="E26"/>
    </sheetView>
  </sheetViews>
  <sheetFormatPr defaultColWidth="9.140625" defaultRowHeight="15" customHeight="1" x14ac:dyDescent="0.25"/>
  <cols>
    <col min="1" max="1" width="3.5703125" style="107" customWidth="1"/>
    <col min="2" max="2" width="39.7109375" style="107" customWidth="1"/>
    <col min="3" max="3" width="24" style="107" customWidth="1"/>
    <col min="4" max="11" width="22.7109375" style="107" customWidth="1"/>
    <col min="12" max="16384" width="9.140625" style="107"/>
  </cols>
  <sheetData>
    <row r="2" spans="2:11" s="1" customFormat="1" ht="15.75" x14ac:dyDescent="0.25">
      <c r="B2" s="401" t="s">
        <v>170</v>
      </c>
      <c r="C2" s="401"/>
      <c r="D2" s="401"/>
      <c r="E2" s="401"/>
      <c r="F2" s="401"/>
      <c r="G2" s="401"/>
      <c r="H2" s="401"/>
      <c r="I2" s="401"/>
      <c r="J2" s="401"/>
      <c r="K2" s="401"/>
    </row>
    <row r="3" spans="2:11" s="1" customFormat="1" ht="18.75" x14ac:dyDescent="0.3">
      <c r="B3" s="402" t="s">
        <v>171</v>
      </c>
      <c r="C3" s="403"/>
      <c r="D3" s="403"/>
      <c r="E3" s="403"/>
      <c r="F3" s="403"/>
      <c r="G3" s="403"/>
      <c r="H3" s="403"/>
      <c r="I3" s="403"/>
      <c r="J3" s="403"/>
      <c r="K3" s="404"/>
    </row>
    <row r="4" spans="2:11" s="1" customFormat="1" ht="18.75" x14ac:dyDescent="0.3">
      <c r="B4" s="375" t="s">
        <v>172</v>
      </c>
      <c r="C4" s="376"/>
      <c r="D4" s="376"/>
      <c r="E4" s="376"/>
      <c r="F4" s="376"/>
      <c r="G4" s="376"/>
      <c r="H4" s="376"/>
      <c r="I4" s="376"/>
      <c r="J4" s="376"/>
      <c r="K4" s="377"/>
    </row>
    <row r="5" spans="2:11" s="109" customFormat="1" ht="18.75" x14ac:dyDescent="0.3">
      <c r="B5" s="254"/>
      <c r="C5" s="254"/>
      <c r="D5" s="254"/>
      <c r="E5" s="254"/>
      <c r="F5" s="254"/>
      <c r="G5" s="254"/>
      <c r="H5" s="254"/>
      <c r="I5" s="254"/>
      <c r="J5" s="254"/>
      <c r="K5" s="254"/>
    </row>
    <row r="6" spans="2:11" s="109" customFormat="1" ht="18.75" customHeight="1" x14ac:dyDescent="0.25">
      <c r="B6" s="407" t="s">
        <v>245</v>
      </c>
      <c r="C6" s="407"/>
      <c r="D6" s="407"/>
      <c r="E6" s="407"/>
      <c r="F6" s="407"/>
      <c r="G6" s="407"/>
      <c r="H6" s="407"/>
      <c r="I6" s="407"/>
      <c r="J6" s="407"/>
      <c r="K6" s="407"/>
    </row>
    <row r="7" spans="2:11" s="109" customFormat="1" ht="18.75" customHeight="1" x14ac:dyDescent="0.25">
      <c r="B7" s="407"/>
      <c r="C7" s="407"/>
      <c r="D7" s="407"/>
      <c r="E7" s="407"/>
      <c r="F7" s="407"/>
      <c r="G7" s="407"/>
      <c r="H7" s="407"/>
      <c r="I7" s="407"/>
      <c r="J7" s="407"/>
      <c r="K7" s="407"/>
    </row>
    <row r="8" spans="2:11" s="109" customFormat="1" ht="18.75" x14ac:dyDescent="0.3">
      <c r="B8" s="108"/>
      <c r="C8" s="108"/>
      <c r="D8" s="108"/>
      <c r="E8" s="108"/>
      <c r="F8" s="108"/>
      <c r="G8" s="108"/>
      <c r="H8" s="108"/>
    </row>
    <row r="9" spans="2:11" s="259" customFormat="1" x14ac:dyDescent="0.25">
      <c r="B9" s="260"/>
      <c r="D9" s="260"/>
      <c r="E9" s="260"/>
      <c r="F9" s="260"/>
      <c r="G9" s="260"/>
      <c r="H9" s="260"/>
      <c r="I9" s="261"/>
      <c r="J9" s="261"/>
      <c r="K9" s="261"/>
    </row>
    <row r="10" spans="2:11" s="253" customFormat="1" ht="15" customHeight="1" x14ac:dyDescent="0.25">
      <c r="B10" s="405" t="s">
        <v>173</v>
      </c>
      <c r="C10" s="269" t="s">
        <v>174</v>
      </c>
      <c r="D10" s="264" t="s">
        <v>174</v>
      </c>
      <c r="E10" s="265" t="s">
        <v>175</v>
      </c>
      <c r="F10" s="265" t="s">
        <v>176</v>
      </c>
      <c r="G10" s="307" t="s">
        <v>174</v>
      </c>
      <c r="H10" s="265" t="s">
        <v>175</v>
      </c>
      <c r="I10" s="266" t="s">
        <v>176</v>
      </c>
      <c r="J10" s="265" t="s">
        <v>175</v>
      </c>
      <c r="K10" s="266" t="s">
        <v>176</v>
      </c>
    </row>
    <row r="11" spans="2:11" s="253" customFormat="1" ht="15" customHeight="1" x14ac:dyDescent="0.25">
      <c r="B11" s="406"/>
      <c r="C11" s="268" t="s">
        <v>216</v>
      </c>
      <c r="D11" s="408" t="s">
        <v>177</v>
      </c>
      <c r="E11" s="409"/>
      <c r="F11" s="409"/>
      <c r="G11" s="410" t="s">
        <v>178</v>
      </c>
      <c r="H11" s="409"/>
      <c r="I11" s="411"/>
      <c r="J11" s="409" t="s">
        <v>179</v>
      </c>
      <c r="K11" s="411"/>
    </row>
    <row r="12" spans="2:11" ht="15" customHeight="1" x14ac:dyDescent="0.25">
      <c r="B12" s="317" t="s">
        <v>281</v>
      </c>
      <c r="C12" s="267">
        <f t="shared" ref="C12:C27" si="0">+D12+G12</f>
        <v>19662164</v>
      </c>
      <c r="D12" s="267">
        <v>19662164</v>
      </c>
      <c r="E12" s="267">
        <v>5357449</v>
      </c>
      <c r="F12" s="306">
        <f>13547104+757610</f>
        <v>14304714</v>
      </c>
      <c r="G12" s="308">
        <v>0</v>
      </c>
      <c r="H12" s="267">
        <f>11084928+1583154</f>
        <v>12668082</v>
      </c>
      <c r="I12" s="267">
        <f>(F12-H12)</f>
        <v>1636632</v>
      </c>
      <c r="J12" s="267"/>
      <c r="K12" s="267"/>
    </row>
    <row r="13" spans="2:11" ht="15" customHeight="1" x14ac:dyDescent="0.25">
      <c r="B13" s="262" t="s">
        <v>180</v>
      </c>
      <c r="C13" s="267">
        <f t="shared" si="0"/>
        <v>25000000</v>
      </c>
      <c r="D13" s="267">
        <v>25000000</v>
      </c>
      <c r="E13" s="267">
        <v>0</v>
      </c>
      <c r="F13" s="306">
        <v>25000000</v>
      </c>
      <c r="G13" s="308">
        <v>0</v>
      </c>
      <c r="H13" s="267">
        <v>0</v>
      </c>
      <c r="I13" s="267">
        <v>18286943</v>
      </c>
      <c r="J13" s="267">
        <v>0</v>
      </c>
      <c r="K13" s="267">
        <v>0</v>
      </c>
    </row>
    <row r="14" spans="2:11" ht="15" customHeight="1" x14ac:dyDescent="0.25">
      <c r="B14" s="262" t="s">
        <v>279</v>
      </c>
      <c r="C14" s="267">
        <f>+D14+G14</f>
        <v>0</v>
      </c>
      <c r="D14" s="267">
        <v>0</v>
      </c>
      <c r="E14" s="267">
        <v>757610</v>
      </c>
      <c r="F14" s="306">
        <f>-E14</f>
        <v>-757610</v>
      </c>
      <c r="G14" s="308">
        <v>0</v>
      </c>
      <c r="H14" s="267">
        <v>0</v>
      </c>
      <c r="I14" s="267">
        <f>-E14</f>
        <v>-757610</v>
      </c>
      <c r="J14" s="267">
        <v>0</v>
      </c>
      <c r="K14" s="267">
        <v>0</v>
      </c>
    </row>
    <row r="15" spans="2:11" ht="15" customHeight="1" x14ac:dyDescent="0.25">
      <c r="B15" s="262" t="s">
        <v>181</v>
      </c>
      <c r="C15" s="267">
        <f t="shared" si="0"/>
        <v>0</v>
      </c>
      <c r="D15" s="267">
        <v>0</v>
      </c>
      <c r="E15" s="267">
        <v>0</v>
      </c>
      <c r="F15" s="306">
        <v>0</v>
      </c>
      <c r="G15" s="308">
        <v>0</v>
      </c>
      <c r="H15" s="267">
        <v>0</v>
      </c>
      <c r="I15" s="267">
        <v>0</v>
      </c>
      <c r="J15" s="267">
        <v>0</v>
      </c>
      <c r="K15" s="267">
        <v>0</v>
      </c>
    </row>
    <row r="16" spans="2:11" ht="15" customHeight="1" x14ac:dyDescent="0.25">
      <c r="B16" s="262" t="s">
        <v>182</v>
      </c>
      <c r="C16" s="267">
        <f t="shared" si="0"/>
        <v>13091075</v>
      </c>
      <c r="D16" s="267">
        <v>13091075</v>
      </c>
      <c r="E16" s="267">
        <v>13091075</v>
      </c>
      <c r="F16" s="306">
        <v>0</v>
      </c>
      <c r="G16" s="308">
        <v>0</v>
      </c>
      <c r="H16" s="267">
        <v>0</v>
      </c>
      <c r="I16" s="267">
        <v>0</v>
      </c>
      <c r="J16" s="267">
        <v>0</v>
      </c>
      <c r="K16" s="267">
        <v>0</v>
      </c>
    </row>
    <row r="17" spans="2:11" ht="15" customHeight="1" x14ac:dyDescent="0.25">
      <c r="B17" s="262" t="s">
        <v>183</v>
      </c>
      <c r="C17" s="267">
        <f t="shared" si="0"/>
        <v>0</v>
      </c>
      <c r="D17" s="267">
        <v>0</v>
      </c>
      <c r="E17" s="267">
        <v>0</v>
      </c>
      <c r="F17" s="306">
        <v>0</v>
      </c>
      <c r="G17" s="308">
        <v>0</v>
      </c>
      <c r="H17" s="267">
        <v>0</v>
      </c>
      <c r="I17" s="267">
        <v>0</v>
      </c>
      <c r="J17" s="267">
        <v>0</v>
      </c>
      <c r="K17" s="267">
        <v>0</v>
      </c>
    </row>
    <row r="18" spans="2:11" ht="15" customHeight="1" x14ac:dyDescent="0.25">
      <c r="B18" s="262" t="s">
        <v>184</v>
      </c>
      <c r="C18" s="267">
        <f t="shared" si="0"/>
        <v>821600</v>
      </c>
      <c r="D18" s="267">
        <v>821600</v>
      </c>
      <c r="E18" s="267">
        <v>821600</v>
      </c>
      <c r="F18" s="306">
        <v>0</v>
      </c>
      <c r="G18" s="308">
        <v>0</v>
      </c>
      <c r="H18" s="267">
        <v>0</v>
      </c>
      <c r="I18" s="267">
        <v>0</v>
      </c>
      <c r="J18" s="267">
        <v>0</v>
      </c>
      <c r="K18" s="267">
        <v>0</v>
      </c>
    </row>
    <row r="19" spans="2:11" ht="15" customHeight="1" x14ac:dyDescent="0.25">
      <c r="B19" s="262" t="s">
        <v>185</v>
      </c>
      <c r="C19" s="267">
        <f t="shared" si="0"/>
        <v>611994</v>
      </c>
      <c r="D19" s="267">
        <v>516631</v>
      </c>
      <c r="E19" s="267">
        <v>516631</v>
      </c>
      <c r="F19" s="306">
        <v>0</v>
      </c>
      <c r="G19" s="309">
        <v>95363</v>
      </c>
      <c r="H19" s="305">
        <v>95363</v>
      </c>
      <c r="I19" s="267">
        <v>0</v>
      </c>
      <c r="J19" s="267">
        <v>0</v>
      </c>
      <c r="K19" s="267">
        <v>0</v>
      </c>
    </row>
    <row r="20" spans="2:11" ht="15" customHeight="1" x14ac:dyDescent="0.25">
      <c r="B20" s="262" t="s">
        <v>186</v>
      </c>
      <c r="C20" s="267">
        <f t="shared" si="0"/>
        <v>527960</v>
      </c>
      <c r="D20" s="267">
        <v>527960</v>
      </c>
      <c r="E20" s="267">
        <v>527960</v>
      </c>
      <c r="F20" s="306">
        <v>0</v>
      </c>
      <c r="G20" s="308">
        <v>0</v>
      </c>
      <c r="H20" s="267">
        <v>0</v>
      </c>
      <c r="I20" s="267">
        <v>0</v>
      </c>
      <c r="J20" s="267">
        <v>0</v>
      </c>
      <c r="K20" s="267">
        <v>0</v>
      </c>
    </row>
    <row r="21" spans="2:11" ht="15" customHeight="1" x14ac:dyDescent="0.25">
      <c r="B21" s="262" t="s">
        <v>217</v>
      </c>
      <c r="C21" s="267">
        <f t="shared" si="0"/>
        <v>0</v>
      </c>
      <c r="D21" s="267">
        <v>0</v>
      </c>
      <c r="E21" s="267">
        <v>0</v>
      </c>
      <c r="F21" s="306">
        <v>0</v>
      </c>
      <c r="G21" s="308">
        <v>0</v>
      </c>
      <c r="H21" s="267">
        <v>0</v>
      </c>
      <c r="I21" s="267">
        <v>0</v>
      </c>
      <c r="J21" s="267">
        <v>0</v>
      </c>
      <c r="K21" s="267">
        <v>0</v>
      </c>
    </row>
    <row r="22" spans="2:11" ht="15" customHeight="1" x14ac:dyDescent="0.25">
      <c r="B22" s="262" t="s">
        <v>267</v>
      </c>
      <c r="C22" s="267">
        <f t="shared" si="0"/>
        <v>13636</v>
      </c>
      <c r="D22" s="267">
        <v>13636</v>
      </c>
      <c r="E22" s="267">
        <v>13636</v>
      </c>
      <c r="F22" s="306">
        <v>0</v>
      </c>
      <c r="G22" s="308">
        <v>0</v>
      </c>
      <c r="H22" s="267">
        <v>0</v>
      </c>
      <c r="I22" s="267">
        <v>0</v>
      </c>
      <c r="J22" s="267">
        <v>0</v>
      </c>
      <c r="K22" s="267">
        <v>0</v>
      </c>
    </row>
    <row r="23" spans="2:11" ht="15" customHeight="1" x14ac:dyDescent="0.25">
      <c r="B23" s="262" t="s">
        <v>268</v>
      </c>
      <c r="C23" s="267">
        <f t="shared" si="0"/>
        <v>61434.559999999998</v>
      </c>
      <c r="D23" s="267">
        <v>18442.560000000001</v>
      </c>
      <c r="E23" s="267">
        <v>18442.560000000001</v>
      </c>
      <c r="F23" s="306">
        <v>0</v>
      </c>
      <c r="G23" s="308">
        <v>42992</v>
      </c>
      <c r="H23" s="267">
        <v>42992</v>
      </c>
      <c r="I23" s="267">
        <v>0</v>
      </c>
      <c r="J23" s="267">
        <v>0</v>
      </c>
      <c r="K23" s="267">
        <v>0</v>
      </c>
    </row>
    <row r="24" spans="2:11" ht="15" customHeight="1" x14ac:dyDescent="0.25">
      <c r="B24" s="262" t="s">
        <v>269</v>
      </c>
      <c r="C24" s="267">
        <f t="shared" si="0"/>
        <v>112993.43</v>
      </c>
      <c r="D24" s="267">
        <v>112993.43</v>
      </c>
      <c r="E24" s="267">
        <v>112993</v>
      </c>
      <c r="F24" s="306">
        <v>0</v>
      </c>
      <c r="G24" s="308">
        <v>0</v>
      </c>
      <c r="H24" s="267">
        <v>0</v>
      </c>
      <c r="I24" s="267">
        <v>0</v>
      </c>
      <c r="J24" s="267">
        <v>0</v>
      </c>
      <c r="K24" s="267">
        <v>0</v>
      </c>
    </row>
    <row r="25" spans="2:11" ht="15" customHeight="1" x14ac:dyDescent="0.25">
      <c r="B25" s="262" t="s">
        <v>271</v>
      </c>
      <c r="C25" s="267">
        <f t="shared" si="0"/>
        <v>185390.99</v>
      </c>
      <c r="D25" s="267">
        <v>0</v>
      </c>
      <c r="E25" s="267">
        <v>0</v>
      </c>
      <c r="F25" s="306">
        <v>0</v>
      </c>
      <c r="G25" s="308">
        <v>185390.99</v>
      </c>
      <c r="H25" s="267">
        <v>857149</v>
      </c>
      <c r="I25" s="267">
        <f>G25-H25</f>
        <v>-671758.01</v>
      </c>
      <c r="J25" s="267">
        <v>0</v>
      </c>
      <c r="K25" s="267">
        <v>0</v>
      </c>
    </row>
    <row r="26" spans="2:11" ht="15" customHeight="1" x14ac:dyDescent="0.25">
      <c r="B26" s="262" t="s">
        <v>272</v>
      </c>
      <c r="C26" s="267">
        <f t="shared" si="0"/>
        <v>120633.1</v>
      </c>
      <c r="D26" s="267">
        <v>0</v>
      </c>
      <c r="E26" s="267">
        <v>0</v>
      </c>
      <c r="F26" s="306">
        <v>0</v>
      </c>
      <c r="G26" s="308">
        <v>120633.1</v>
      </c>
      <c r="H26" s="267">
        <v>137633</v>
      </c>
      <c r="I26" s="267">
        <f>G26-H26</f>
        <v>-16999.899999999994</v>
      </c>
      <c r="J26" s="267">
        <v>0</v>
      </c>
      <c r="K26" s="267">
        <v>0</v>
      </c>
    </row>
    <row r="27" spans="2:11" ht="15" customHeight="1" x14ac:dyDescent="0.25">
      <c r="B27" s="262" t="s">
        <v>273</v>
      </c>
      <c r="C27" s="267">
        <f t="shared" si="0"/>
        <v>2640</v>
      </c>
      <c r="D27" s="267"/>
      <c r="E27" s="267"/>
      <c r="F27" s="306"/>
      <c r="G27" s="308">
        <v>2640</v>
      </c>
      <c r="H27" s="267">
        <v>2640</v>
      </c>
      <c r="I27" s="267">
        <v>0</v>
      </c>
      <c r="J27" s="267">
        <v>0</v>
      </c>
      <c r="K27" s="267">
        <v>0</v>
      </c>
    </row>
    <row r="28" spans="2:11" ht="15" customHeight="1" thickBot="1" x14ac:dyDescent="0.3">
      <c r="B28" s="263" t="s">
        <v>187</v>
      </c>
      <c r="C28" s="290">
        <f t="shared" ref="C28:K28" si="1">SUM(C12:C27)</f>
        <v>60211521.080000006</v>
      </c>
      <c r="D28" s="291">
        <f t="shared" si="1"/>
        <v>59764501.990000002</v>
      </c>
      <c r="E28" s="292">
        <f t="shared" si="1"/>
        <v>21217396.559999999</v>
      </c>
      <c r="F28" s="292">
        <f t="shared" si="1"/>
        <v>38547104</v>
      </c>
      <c r="G28" s="310">
        <f t="shared" si="1"/>
        <v>447019.08999999997</v>
      </c>
      <c r="H28" s="292">
        <f t="shared" si="1"/>
        <v>13803859</v>
      </c>
      <c r="I28" s="293">
        <f t="shared" si="1"/>
        <v>18477207.09</v>
      </c>
      <c r="J28" s="292">
        <f t="shared" si="1"/>
        <v>0</v>
      </c>
      <c r="K28" s="293">
        <f t="shared" si="1"/>
        <v>0</v>
      </c>
    </row>
    <row r="29" spans="2:11" ht="15" customHeight="1" thickTop="1" x14ac:dyDescent="0.25"/>
    <row r="30" spans="2:11" ht="15" customHeight="1" x14ac:dyDescent="0.25">
      <c r="C30" s="316"/>
    </row>
    <row r="31" spans="2:11" s="4" customFormat="1" ht="15" customHeight="1" x14ac:dyDescent="0.3">
      <c r="B31" s="4" t="s">
        <v>280</v>
      </c>
    </row>
    <row r="32" spans="2:11" s="4" customFormat="1" ht="15" customHeight="1" x14ac:dyDescent="0.3">
      <c r="B32" s="4" t="s">
        <v>282</v>
      </c>
    </row>
    <row r="33" spans="7:8" s="4" customFormat="1" ht="15" customHeight="1" x14ac:dyDescent="0.3"/>
    <row r="34" spans="7:8" s="4" customFormat="1" ht="15" customHeight="1" x14ac:dyDescent="0.3">
      <c r="G34" s="329" t="s">
        <v>284</v>
      </c>
      <c r="H34" s="328">
        <v>12220705</v>
      </c>
    </row>
    <row r="35" spans="7:8" ht="15" customHeight="1" x14ac:dyDescent="0.25">
      <c r="G35" s="330" t="s">
        <v>283</v>
      </c>
      <c r="H35" s="325">
        <f>1583154</f>
        <v>1583154</v>
      </c>
    </row>
    <row r="36" spans="7:8" ht="15" customHeight="1" x14ac:dyDescent="0.25">
      <c r="G36" s="326"/>
      <c r="H36" s="327">
        <f>SUM(H34:H35)</f>
        <v>13803859</v>
      </c>
    </row>
  </sheetData>
  <mergeCells count="8">
    <mergeCell ref="B4:K4"/>
    <mergeCell ref="B3:K3"/>
    <mergeCell ref="B2:K2"/>
    <mergeCell ref="B10:B11"/>
    <mergeCell ref="B6:K7"/>
    <mergeCell ref="D11:F11"/>
    <mergeCell ref="G11:I11"/>
    <mergeCell ref="J11:K11"/>
  </mergeCells>
  <pageMargins left="0.2" right="0.2" top="0.75" bottom="0.75" header="0.3" footer="0.3"/>
  <pageSetup scale="5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zoomScale="110" zoomScaleNormal="110" workbookViewId="0">
      <selection sqref="A1:B16"/>
    </sheetView>
  </sheetViews>
  <sheetFormatPr defaultRowHeight="15" x14ac:dyDescent="0.25"/>
  <cols>
    <col min="1" max="1" width="42.7109375" style="65" customWidth="1"/>
    <col min="2" max="2" width="13.85546875" style="65" customWidth="1"/>
  </cols>
  <sheetData>
    <row r="2" spans="1:2" x14ac:dyDescent="0.25">
      <c r="A2" s="412" t="s">
        <v>188</v>
      </c>
      <c r="B2" s="412"/>
    </row>
    <row r="3" spans="1:2" ht="15.75" x14ac:dyDescent="0.25">
      <c r="A3" s="413" t="s">
        <v>189</v>
      </c>
      <c r="B3" s="413"/>
    </row>
    <row r="4" spans="1:2" ht="24.6" customHeight="1" x14ac:dyDescent="0.25">
      <c r="A4" s="414" t="s">
        <v>190</v>
      </c>
      <c r="B4" s="414"/>
    </row>
    <row r="5" spans="1:2" x14ac:dyDescent="0.25">
      <c r="A5" s="66" t="s">
        <v>191</v>
      </c>
      <c r="B5" s="67">
        <f>'1. Reconciliation'!C23</f>
        <v>270361371</v>
      </c>
    </row>
    <row r="6" spans="1:2" x14ac:dyDescent="0.25">
      <c r="A6" s="66" t="s">
        <v>192</v>
      </c>
      <c r="B6" s="68">
        <f>'1. Reconciliation'!C26</f>
        <v>9.2423536518285901E-2</v>
      </c>
    </row>
    <row r="7" spans="1:2" x14ac:dyDescent="0.25">
      <c r="A7" s="66" t="s">
        <v>193</v>
      </c>
      <c r="B7" s="68">
        <f>'1. Reconciliation'!C86</f>
        <v>1.3087156600990217E-2</v>
      </c>
    </row>
    <row r="8" spans="1:2" x14ac:dyDescent="0.25">
      <c r="A8" s="69"/>
      <c r="B8" s="70"/>
    </row>
    <row r="9" spans="1:2" x14ac:dyDescent="0.25">
      <c r="A9" s="71" t="s">
        <v>194</v>
      </c>
      <c r="B9" s="72"/>
    </row>
    <row r="10" spans="1:2" ht="39.6" customHeight="1" x14ac:dyDescent="0.25">
      <c r="A10" s="66" t="s">
        <v>23</v>
      </c>
      <c r="B10" s="73">
        <f>'1. Reconciliation'!C12</f>
        <v>4534318</v>
      </c>
    </row>
    <row r="11" spans="1:2" x14ac:dyDescent="0.25">
      <c r="A11" s="66" t="s">
        <v>24</v>
      </c>
      <c r="B11" s="73">
        <f>'1. Reconciliation'!C14</f>
        <v>11631953</v>
      </c>
    </row>
    <row r="12" spans="1:2" x14ac:dyDescent="0.25">
      <c r="A12" s="66" t="s">
        <v>25</v>
      </c>
      <c r="B12" s="73">
        <f>'1. Reconciliation'!C16</f>
        <v>0</v>
      </c>
    </row>
    <row r="13" spans="1:2" x14ac:dyDescent="0.25">
      <c r="A13" s="66" t="s">
        <v>26</v>
      </c>
      <c r="B13" s="73">
        <f>'1. Reconciliation'!C17</f>
        <v>3083499</v>
      </c>
    </row>
    <row r="14" spans="1:2" ht="44.45" customHeight="1" x14ac:dyDescent="0.25">
      <c r="A14" s="66" t="s">
        <v>27</v>
      </c>
      <c r="B14" s="73">
        <f>'1. Reconciliation'!C18</f>
        <v>4795417</v>
      </c>
    </row>
    <row r="15" spans="1:2" x14ac:dyDescent="0.25">
      <c r="A15" s="74" t="s">
        <v>195</v>
      </c>
      <c r="B15" s="75">
        <f>SUM(B10:B14)</f>
        <v>24045187</v>
      </c>
    </row>
  </sheetData>
  <mergeCells count="3">
    <mergeCell ref="A2:B2"/>
    <mergeCell ref="A3:B3"/>
    <mergeCell ref="A4:B4"/>
  </mergeCells>
  <printOptions horizontalCentered="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18dbc17e-cec9-4211-a89f-0bf74a616302"/>
    <ds:schemaRef ds:uri="2819d22d-c924-42b3-954a-d3b43813cc6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1. Reconciliation</vt:lpstr>
      <vt:lpstr>2. Charge and NPR Detail</vt:lpstr>
      <vt:lpstr>3. Utilization</vt:lpstr>
      <vt:lpstr>4. Inflation</vt:lpstr>
      <vt:lpstr>5. Vaccine Clinics and Testing</vt:lpstr>
      <vt:lpstr>6. Value Based Care Participati</vt:lpstr>
      <vt:lpstr>7.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2021-06-29T16:28:08Z</cp:lastPrinted>
  <dcterms:created xsi:type="dcterms:W3CDTF">2020-01-09T18:52:12Z</dcterms:created>
  <dcterms:modified xsi:type="dcterms:W3CDTF">2021-07-13T18:01:41Z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