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T:\Oracle_EPBCS\Fiscal 2023 Budget\GMCB Submission\"/>
    </mc:Choice>
  </mc:AlternateContent>
  <xr:revisionPtr revIDLastSave="0" documentId="13_ncr:1_{13FEC067-2A72-4678-9235-8AA51028A8F5}" xr6:coauthVersionLast="47" xr6:coauthVersionMax="47" xr10:uidLastSave="{00000000-0000-0000-0000-000000000000}"/>
  <bookViews>
    <workbookView xWindow="-120" yWindow="-120" windowWidth="29040" windowHeight="15225" tabRatio="875" activeTab="1"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Reconciliation'!$B$6:$O$101</definedName>
    <definedName name="_xlnm.Print_Area" localSheetId="2">'2. Charge and NPR Detail'!$A$2:$H$69</definedName>
    <definedName name="_xlnm.Print_Area" localSheetId="3">'3. Utilization'!$B$1:$D$16</definedName>
    <definedName name="_xlnm.Print_Area" localSheetId="4">'4. Inflation'!$B$1:$D$20</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20" l="1"/>
  <c r="C42" i="15" l="1"/>
  <c r="C15" i="7"/>
  <c r="C18" i="7" s="1"/>
  <c r="C91" i="15"/>
  <c r="D9" i="16" l="1"/>
  <c r="C32" i="15"/>
  <c r="D15" i="16"/>
  <c r="D93" i="15" l="1"/>
  <c r="C93" i="15"/>
  <c r="C82" i="15"/>
  <c r="C10" i="7" l="1"/>
  <c r="C11" i="7"/>
  <c r="C12" i="7"/>
  <c r="C13" i="7"/>
  <c r="C14" i="7"/>
  <c r="C9" i="7"/>
  <c r="D14" i="7" l="1"/>
  <c r="D13" i="7"/>
  <c r="D35" i="15"/>
  <c r="D36" i="15"/>
  <c r="D43" i="15"/>
  <c r="D67" i="13" l="1"/>
  <c r="D68" i="13"/>
  <c r="D66" i="13"/>
  <c r="D55" i="13"/>
  <c r="E18" i="15"/>
  <c r="D18" i="15"/>
  <c r="E14" i="15"/>
  <c r="G11" i="15"/>
  <c r="E11" i="15"/>
  <c r="D15" i="13"/>
  <c r="D15" i="8"/>
  <c r="F7" i="16" l="1"/>
  <c r="D16" i="8"/>
  <c r="E16" i="8"/>
  <c r="F16" i="8"/>
  <c r="G26" i="20" l="1"/>
  <c r="H26" i="20"/>
  <c r="G12" i="20"/>
  <c r="C13" i="20"/>
  <c r="C14" i="20"/>
  <c r="C15" i="20"/>
  <c r="C16" i="20"/>
  <c r="C17" i="20"/>
  <c r="C18" i="20"/>
  <c r="C19" i="20"/>
  <c r="C20" i="20"/>
  <c r="C21" i="20"/>
  <c r="C22" i="20"/>
  <c r="C23" i="20"/>
  <c r="C24" i="20"/>
  <c r="C25" i="20"/>
  <c r="C26" i="20"/>
  <c r="C27" i="20"/>
  <c r="C12" i="20"/>
  <c r="E29" i="20" l="1"/>
  <c r="F29" i="20"/>
  <c r="D29" i="20"/>
  <c r="E35" i="13"/>
  <c r="C35" i="13"/>
  <c r="E25" i="13"/>
  <c r="C25" i="13"/>
  <c r="G84" i="13"/>
  <c r="D42" i="15"/>
  <c r="E15" i="13" l="1"/>
  <c r="D16" i="16"/>
  <c r="E15" i="16" s="1"/>
  <c r="F15" i="16" s="1"/>
  <c r="D32" i="15"/>
  <c r="G72" i="15"/>
  <c r="G74" i="15" s="1"/>
  <c r="G75" i="15" s="1"/>
  <c r="G23" i="15"/>
  <c r="G25" i="15" s="1"/>
  <c r="G26" i="15" s="1"/>
  <c r="C63" i="15"/>
  <c r="C62" i="15"/>
  <c r="C61" i="15"/>
  <c r="C13" i="15"/>
  <c r="C12" i="15"/>
  <c r="B10" i="4" s="1"/>
  <c r="F72" i="15"/>
  <c r="F74" i="15" s="1"/>
  <c r="F75" i="15" s="1"/>
  <c r="F23" i="15"/>
  <c r="F25" i="15" s="1"/>
  <c r="F26" i="15" s="1"/>
  <c r="C19" i="15"/>
  <c r="C18" i="15"/>
  <c r="B14" i="4" s="1"/>
  <c r="C17" i="15"/>
  <c r="B13" i="4" s="1"/>
  <c r="C16" i="15"/>
  <c r="B12" i="4" s="1"/>
  <c r="C15" i="15"/>
  <c r="C14" i="15"/>
  <c r="B11" i="4" s="1"/>
  <c r="K29" i="20"/>
  <c r="J29" i="20"/>
  <c r="G29" i="20"/>
  <c r="H29" i="20"/>
  <c r="I29" i="20"/>
  <c r="D41" i="13"/>
  <c r="D69" i="13"/>
  <c r="C69" i="13"/>
  <c r="C59" i="13"/>
  <c r="D59" i="13"/>
  <c r="C15" i="13"/>
  <c r="H69" i="13"/>
  <c r="G69" i="13"/>
  <c r="F69" i="13"/>
  <c r="E65" i="13"/>
  <c r="E64" i="13"/>
  <c r="J59" i="13"/>
  <c r="I59" i="13"/>
  <c r="H59" i="13"/>
  <c r="G59" i="13"/>
  <c r="F59" i="13"/>
  <c r="E59" i="13"/>
  <c r="J45" i="13"/>
  <c r="I45" i="13"/>
  <c r="H45" i="13"/>
  <c r="G45" i="13"/>
  <c r="F45" i="13"/>
  <c r="C45" i="13"/>
  <c r="E44" i="13"/>
  <c r="E45" i="13" s="1"/>
  <c r="D43" i="13"/>
  <c r="D42" i="13"/>
  <c r="C96" i="15"/>
  <c r="D91" i="15"/>
  <c r="D90" i="15"/>
  <c r="D94" i="15"/>
  <c r="D45" i="15"/>
  <c r="D44" i="15"/>
  <c r="E9" i="16" l="1"/>
  <c r="F9" i="16" s="1"/>
  <c r="E10" i="16"/>
  <c r="F10" i="16" s="1"/>
  <c r="E11" i="16"/>
  <c r="F11" i="16" s="1"/>
  <c r="E12" i="16"/>
  <c r="F12" i="16" s="1"/>
  <c r="E13" i="16"/>
  <c r="F13" i="16" s="1"/>
  <c r="E14" i="16"/>
  <c r="F14" i="16" s="1"/>
  <c r="E8" i="16"/>
  <c r="C98" i="15"/>
  <c r="C99" i="15" s="1"/>
  <c r="C73" i="13"/>
  <c r="C29" i="20"/>
  <c r="D73" i="13"/>
  <c r="E69" i="13"/>
  <c r="F73" i="13" s="1"/>
  <c r="D15" i="7"/>
  <c r="D17" i="7"/>
  <c r="C33" i="15"/>
  <c r="D89" i="15"/>
  <c r="D92" i="15"/>
  <c r="D95" i="15"/>
  <c r="D41" i="15"/>
  <c r="D47" i="15"/>
  <c r="D46" i="15"/>
  <c r="D40" i="15"/>
  <c r="H72" i="15"/>
  <c r="H74" i="15" s="1"/>
  <c r="H75" i="15" s="1"/>
  <c r="E72" i="15"/>
  <c r="E74" i="15" s="1"/>
  <c r="E75" i="15" s="1"/>
  <c r="D72" i="15"/>
  <c r="D74" i="15" s="1"/>
  <c r="D75" i="15" s="1"/>
  <c r="C71" i="15"/>
  <c r="C70" i="15"/>
  <c r="C69" i="15"/>
  <c r="C68" i="15"/>
  <c r="C67" i="15"/>
  <c r="C66" i="15"/>
  <c r="C65" i="15"/>
  <c r="C64" i="15"/>
  <c r="C60" i="15"/>
  <c r="E23" i="15"/>
  <c r="E25" i="15" s="1"/>
  <c r="E26" i="15" s="1"/>
  <c r="H23" i="15"/>
  <c r="H25" i="15" s="1"/>
  <c r="H26" i="15" s="1"/>
  <c r="D23" i="15"/>
  <c r="D25" i="15" s="1"/>
  <c r="D26" i="15" s="1"/>
  <c r="C20" i="15"/>
  <c r="C21" i="15"/>
  <c r="C22" i="15"/>
  <c r="C11" i="15"/>
  <c r="C74" i="13" s="1"/>
  <c r="E16" i="16" l="1"/>
  <c r="F8" i="16"/>
  <c r="F16" i="16" s="1"/>
  <c r="C75" i="13"/>
  <c r="E73" i="13"/>
  <c r="B15" i="4"/>
  <c r="C72" i="15"/>
  <c r="C74" i="15" l="1"/>
  <c r="C23" i="15"/>
  <c r="F74" i="13" l="1"/>
  <c r="F75" i="13" s="1"/>
  <c r="C25" i="15"/>
  <c r="C26" i="15" s="1"/>
  <c r="C75" i="15"/>
  <c r="B7" i="4" s="1"/>
  <c r="B5" i="4"/>
  <c r="D88" i="15"/>
  <c r="D87" i="15"/>
  <c r="D86" i="15"/>
  <c r="D85" i="15"/>
  <c r="D84" i="15"/>
  <c r="D83" i="15"/>
  <c r="D82" i="15"/>
  <c r="D81" i="15"/>
  <c r="D96" i="15" l="1"/>
  <c r="D39" i="15"/>
  <c r="D38" i="15"/>
  <c r="D37" i="15"/>
  <c r="D34" i="15"/>
  <c r="D74" i="13" l="1"/>
  <c r="D75" i="13" s="1"/>
  <c r="C48" i="15"/>
  <c r="D33" i="15"/>
  <c r="D48" i="15" s="1"/>
  <c r="B6" i="4" l="1"/>
  <c r="E74" i="13"/>
  <c r="E75" i="13" s="1"/>
  <c r="C50" i="15"/>
  <c r="C51" i="15" s="1"/>
</calcChain>
</file>

<file path=xl/sharedStrings.xml><?xml version="1.0" encoding="utf-8"?>
<sst xmlns="http://schemas.openxmlformats.org/spreadsheetml/2006/main" count="362" uniqueCount="256">
  <si>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</si>
  <si>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</si>
  <si>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</si>
  <si>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</si>
  <si>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</si>
  <si>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</si>
  <si>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</si>
  <si>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</si>
  <si>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</si>
  <si>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</si>
  <si>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</si>
  <si>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</si>
  <si>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</si>
  <si>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</si>
  <si>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</si>
  <si>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</si>
  <si>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</si>
  <si>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</si>
  <si>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</si>
  <si>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</si>
  <si>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</si>
  <si>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</si>
  <si>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</si>
  <si>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</si>
  <si>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</si>
  <si>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</si>
  <si>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</si>
  <si>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</si>
  <si>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</si>
  <si>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</si>
  <si>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</si>
  <si>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</si>
  <si>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</si>
  <si>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</si>
  <si>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</si>
  <si>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</si>
  <si>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</si>
  <si>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</si>
  <si>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</si>
  <si>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Cost Savings</t>
  </si>
  <si>
    <t>Other (specify, add additional rows as necessary)</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</si>
  <si>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</si>
  <si>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</si>
  <si>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</si>
  <si>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</si>
  <si>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</si>
  <si>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</si>
  <si>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</si>
  <si>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</si>
  <si>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</si>
  <si>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</si>
  <si>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</si>
  <si>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</si>
  <si>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</si>
  <si>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</si>
  <si>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</si>
  <si>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</si>
  <si>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</si>
  <si>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</si>
  <si>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</si>
  <si>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</si>
  <si>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</si>
  <si>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</si>
  <si>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</si>
  <si>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</si>
  <si>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</si>
  <si>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</si>
  <si>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</si>
  <si>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</si>
  <si>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</si>
  <si>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</si>
  <si>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</si>
  <si>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</si>
  <si>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</si>
  <si>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</si>
  <si>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</si>
  <si>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</si>
  <si>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</si>
  <si>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</si>
  <si>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</si>
  <si>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</si>
  <si>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</si>
  <si>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</si>
  <si>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</si>
  <si>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</si>
  <si>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</si>
  <si>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</si>
  <si>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</si>
  <si>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</si>
  <si>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</si>
  <si>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</si>
  <si>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</si>
  <si>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</si>
  <si>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</si>
  <si>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</si>
  <si>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</si>
  <si>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</si>
  <si>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</si>
  <si>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</si>
  <si>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</si>
  <si>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</si>
  <si>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</si>
  <si>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Wages/Compensation - Medical Staff</t>
  </si>
  <si>
    <t>Medical Supplies</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</si>
  <si>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</si>
  <si>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</si>
  <si>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</si>
  <si>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</si>
  <si>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</si>
  <si>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</si>
  <si>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</si>
  <si>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</si>
  <si>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</si>
  <si>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</si>
  <si>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</si>
  <si>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</si>
  <si>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</si>
  <si>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</si>
  <si>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</si>
  <si>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</si>
  <si>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</si>
  <si>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</si>
  <si>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</si>
  <si>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</si>
  <si>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</si>
  <si>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</si>
  <si>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</si>
  <si>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</si>
  <si>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</si>
  <si>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</si>
  <si>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</si>
  <si>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</si>
  <si>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</si>
  <si>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</si>
  <si>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</si>
  <si>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</si>
  <si>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</si>
  <si>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</si>
  <si>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</si>
  <si>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</si>
  <si>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</si>
  <si>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</si>
  <si>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</si>
  <si>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</si>
  <si>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</si>
  <si>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</si>
  <si>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</si>
  <si>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</si>
  <si>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</si>
  <si>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</si>
  <si>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</si>
  <si>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</si>
  <si>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</si>
  <si>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</si>
  <si>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</si>
  <si>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</si>
  <si>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</si>
  <si>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</si>
  <si>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</si>
  <si>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</si>
  <si>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</si>
  <si>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(ex. May 2022 year-to-date)</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</si>
  <si>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</si>
  <si>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</si>
  <si>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</si>
  <si>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</si>
  <si>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</si>
  <si>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</si>
  <si>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</si>
  <si>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</si>
  <si>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</si>
  <si>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</si>
  <si>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</si>
  <si>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</si>
  <si>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</si>
  <si>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</si>
  <si>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</si>
  <si>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</si>
  <si>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</si>
  <si>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</si>
  <si>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</si>
  <si>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</si>
  <si>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</si>
  <si>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</si>
  <si>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</si>
  <si>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</si>
  <si>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</si>
  <si>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</si>
  <si>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</si>
  <si>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</si>
  <si>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</si>
  <si>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</si>
  <si>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</si>
  <si>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</si>
  <si>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</si>
  <si>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</si>
  <si>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</si>
  <si>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</si>
  <si>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</si>
  <si>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</si>
  <si>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</si>
  <si>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</si>
  <si>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</si>
  <si>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</si>
  <si>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</si>
  <si>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</si>
  <si>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</si>
  <si>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</si>
  <si>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</si>
  <si>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</si>
  <si>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</si>
  <si>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</si>
  <si>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</si>
  <si>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</si>
  <si>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</si>
  <si>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</si>
  <si>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</si>
  <si>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</si>
  <si>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Yes</t>
  </si>
  <si>
    <r>
      <t xml:space="preserve">CARES Act Funding </t>
    </r>
    <r>
      <rPr>
        <u/>
        <sz val="11"/>
        <color theme="1"/>
        <rFont val="Calibri"/>
        <family val="2"/>
        <scheme val="minor"/>
      </rPr>
      <t>(see note below)</t>
    </r>
  </si>
  <si>
    <t>Medicare Advance - Repayment</t>
  </si>
  <si>
    <t>FEMA</t>
  </si>
  <si>
    <t>VT Blue Cross Advance</t>
  </si>
  <si>
    <t>VT Healthcare Stabilization Grant</t>
  </si>
  <si>
    <t>VT Medicaid Retainer Funding</t>
  </si>
  <si>
    <t>VT Hazard Pay Grant</t>
  </si>
  <si>
    <t>VT Unemployment Credit - CARES Act</t>
  </si>
  <si>
    <t>PPP Funds</t>
  </si>
  <si>
    <t>HPP Grant</t>
  </si>
  <si>
    <t>VAHHS Grant</t>
  </si>
  <si>
    <t>CIC Health</t>
  </si>
  <si>
    <t>ADAP</t>
  </si>
  <si>
    <t>State of Vermont</t>
  </si>
  <si>
    <t>COVID Emergency</t>
  </si>
  <si>
    <t>COVID Curbside Medication Delivery</t>
  </si>
  <si>
    <t>Psych ICU and ADAP</t>
  </si>
  <si>
    <t>Other (Unabel to provide NPR at Service Level)</t>
  </si>
  <si>
    <t>Payments</t>
  </si>
  <si>
    <t>Shadows</t>
  </si>
  <si>
    <t>Contract Staffing</t>
  </si>
  <si>
    <t>Self Insured Medical</t>
  </si>
  <si>
    <t>Med Surge Supplies related to Volume</t>
  </si>
  <si>
    <t>Physician Incentives (wRVU's, call coverage, etc.)</t>
  </si>
  <si>
    <t>ACO Fees</t>
  </si>
  <si>
    <t>Pharmaceutical Volume</t>
  </si>
  <si>
    <t>Physician volume (chg in FTEs)</t>
  </si>
  <si>
    <t>Provider Transfer - Anesthesiology</t>
  </si>
  <si>
    <t>Laboratory</t>
  </si>
  <si>
    <t>Diagnostic Imaging (CT, MRI, General)</t>
  </si>
  <si>
    <t>Cardo Pulm, Emergency Svcs. Misc</t>
  </si>
  <si>
    <t>COVID Expenses</t>
  </si>
  <si>
    <t>Depreciation</t>
  </si>
  <si>
    <t>Wages/Compensation - Non-Medical Staff</t>
  </si>
  <si>
    <t>Min Wage, Differentials, Merit/Market increases</t>
  </si>
  <si>
    <t>Energy Costs</t>
  </si>
  <si>
    <t xml:space="preserve">Food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</si>
</sst>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
      <u/>
      <sz val="11"/>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29">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8" xfId="5" applyFont="1" applyBorder="1"/>
    <xf numFmtId="0" fontId="8" fillId="0" borderId="11"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14" xfId="0" applyFont="1" applyBorder="1"/>
    <xf numFmtId="0" fontId="1" fillId="0" borderId="10" xfId="0" applyFont="1" applyBorder="1"/>
    <xf numFmtId="0" fontId="2" fillId="0" borderId="34" xfId="0" applyFont="1" applyBorder="1" applyAlignment="1">
      <alignment horizontal="left" indent="3"/>
    </xf>
    <xf numFmtId="0" fontId="2" fillId="0" borderId="18" xfId="0" applyFont="1" applyBorder="1" applyAlignment="1">
      <alignment horizontal="center"/>
    </xf>
    <xf numFmtId="0" fontId="2" fillId="0" borderId="7" xfId="0" applyFont="1" applyBorder="1" applyAlignment="1">
      <alignment horizontal="center"/>
    </xf>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9" fontId="4" fillId="6" borderId="4" xfId="3" applyFont="1" applyFill="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44" fontId="4" fillId="0" borderId="23" xfId="2" applyFont="1" applyBorder="1" applyAlignment="1"/>
    <xf numFmtId="9" fontId="4" fillId="9" borderId="0" xfId="3" applyFont="1" applyFill="1" applyBorder="1"/>
    <xf numFmtId="0" fontId="8" fillId="4" borderId="9" xfId="5" applyFont="1" applyFill="1" applyBorder="1"/>
    <xf numFmtId="0" fontId="8" fillId="0" borderId="40" xfId="5" applyFont="1" applyBorder="1"/>
    <xf numFmtId="0" fontId="2" fillId="0" borderId="0" xfId="0" applyFont="1" applyFill="1" applyBorder="1" applyAlignment="1">
      <alignment horizontal="center"/>
    </xf>
    <xf numFmtId="0" fontId="2" fillId="0" borderId="19" xfId="0" applyFont="1" applyBorder="1" applyAlignment="1">
      <alignment horizontal="center" vertical="center"/>
    </xf>
    <xf numFmtId="165" fontId="1" fillId="0" borderId="0" xfId="0" applyNumberFormat="1" applyFont="1" applyFill="1" applyBorder="1"/>
    <xf numFmtId="165" fontId="1" fillId="0" borderId="15" xfId="0" applyNumberFormat="1" applyFont="1" applyFill="1" applyBorder="1"/>
    <xf numFmtId="165" fontId="1" fillId="0" borderId="17" xfId="0" applyNumberFormat="1" applyFont="1" applyFill="1" applyBorder="1"/>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0" fontId="8" fillId="0" borderId="12" xfId="5" applyFont="1" applyBorder="1" applyAlignment="1">
      <alignment horizontal="center" vertical="center"/>
    </xf>
    <xf numFmtId="0" fontId="8" fillId="9" borderId="12" xfId="5" applyFont="1" applyFill="1" applyBorder="1" applyAlignment="1">
      <alignment horizontal="center" vertical="center"/>
    </xf>
    <xf numFmtId="0" fontId="8" fillId="9" borderId="6" xfId="5" applyFont="1" applyFill="1" applyBorder="1" applyAlignment="1">
      <alignment horizontal="center" vertical="center"/>
    </xf>
    <xf numFmtId="0" fontId="8" fillId="0" borderId="38" xfId="5" applyFont="1" applyBorder="1" applyAlignment="1">
      <alignment horizontal="center" vertical="center"/>
    </xf>
    <xf numFmtId="0" fontId="0" fillId="0" borderId="15" xfId="0" applyBorder="1"/>
    <xf numFmtId="165" fontId="0" fillId="0" borderId="0" xfId="0" applyNumberFormat="1" applyFont="1" applyFill="1" applyBorder="1"/>
    <xf numFmtId="165" fontId="1" fillId="0" borderId="23" xfId="2" applyNumberFormat="1" applyFont="1" applyFill="1" applyBorder="1"/>
    <xf numFmtId="165" fontId="1" fillId="0" borderId="34" xfId="2" applyNumberFormat="1" applyFont="1" applyBorder="1"/>
    <xf numFmtId="165" fontId="1" fillId="0" borderId="32" xfId="2" applyNumberFormat="1" applyFont="1" applyBorder="1"/>
    <xf numFmtId="165" fontId="1" fillId="0" borderId="33" xfId="2" applyNumberFormat="1" applyFont="1" applyBorder="1"/>
    <xf numFmtId="165" fontId="1" fillId="9" borderId="32" xfId="2" applyNumberFormat="1" applyFont="1" applyFill="1" applyBorder="1"/>
    <xf numFmtId="165" fontId="1" fillId="9" borderId="33" xfId="2" applyNumberFormat="1" applyFont="1" applyFill="1" applyBorder="1"/>
    <xf numFmtId="44" fontId="1" fillId="9" borderId="0" xfId="2" applyFont="1" applyFill="1"/>
    <xf numFmtId="44" fontId="1" fillId="9" borderId="17" xfId="2" applyFont="1" applyFill="1" applyBorder="1"/>
    <xf numFmtId="44" fontId="1" fillId="0" borderId="17" xfId="2" applyFont="1" applyBorder="1"/>
    <xf numFmtId="165" fontId="8" fillId="0" borderId="12" xfId="2" applyNumberFormat="1" applyFont="1" applyBorder="1"/>
    <xf numFmtId="165" fontId="8" fillId="0" borderId="13" xfId="2" applyNumberFormat="1" applyFont="1" applyBorder="1"/>
    <xf numFmtId="165" fontId="8" fillId="9" borderId="12" xfId="2" applyNumberFormat="1" applyFont="1" applyFill="1" applyBorder="1"/>
    <xf numFmtId="165" fontId="8" fillId="9" borderId="13" xfId="2" applyNumberFormat="1" applyFont="1" applyFill="1" applyBorder="1"/>
    <xf numFmtId="165" fontId="8" fillId="9" borderId="6" xfId="2" applyNumberFormat="1" applyFont="1" applyFill="1" applyBorder="1"/>
    <xf numFmtId="165" fontId="8" fillId="9" borderId="36" xfId="2" applyNumberFormat="1" applyFont="1" applyFill="1" applyBorder="1"/>
    <xf numFmtId="165" fontId="8" fillId="0" borderId="38" xfId="2" applyNumberFormat="1" applyFont="1" applyBorder="1"/>
    <xf numFmtId="165" fontId="8" fillId="0" borderId="39" xfId="2" applyNumberFormat="1" applyFont="1" applyBorder="1"/>
    <xf numFmtId="165" fontId="8" fillId="0" borderId="9" xfId="2" applyNumberFormat="1" applyFont="1" applyBorder="1"/>
    <xf numFmtId="165" fontId="8" fillId="0" borderId="37" xfId="2" applyNumberFormat="1" applyFont="1" applyBorder="1"/>
    <xf numFmtId="0" fontId="8" fillId="0" borderId="6" xfId="5" applyFont="1" applyBorder="1" applyAlignment="1">
      <alignment horizontal="center" vertical="center" wrapText="1"/>
    </xf>
    <xf numFmtId="0" fontId="8" fillId="0" borderId="7" xfId="5" applyFont="1" applyBorder="1" applyAlignment="1">
      <alignment horizontal="center" vertical="center" wrapText="1"/>
    </xf>
    <xf numFmtId="0" fontId="8" fillId="0" borderId="8" xfId="5" applyFont="1" applyBorder="1" applyAlignment="1">
      <alignment horizontal="center" vertical="center"/>
    </xf>
    <xf numFmtId="0" fontId="8" fillId="0" borderId="9" xfId="5" applyFont="1" applyBorder="1" applyAlignment="1">
      <alignment horizontal="center" vertical="center"/>
    </xf>
    <xf numFmtId="0" fontId="8" fillId="0" borderId="10" xfId="5" applyFont="1" applyBorder="1" applyAlignment="1">
      <alignment horizontal="center" vertical="center"/>
    </xf>
    <xf numFmtId="166" fontId="8" fillId="0" borderId="12" xfId="1" applyNumberFormat="1" applyFont="1" applyBorder="1"/>
    <xf numFmtId="166" fontId="8" fillId="9" borderId="12" xfId="1" applyNumberFormat="1" applyFont="1" applyFill="1" applyBorder="1"/>
    <xf numFmtId="166" fontId="8" fillId="9" borderId="6" xfId="1" applyNumberFormat="1" applyFont="1" applyFill="1" applyBorder="1"/>
    <xf numFmtId="166" fontId="8" fillId="0" borderId="38" xfId="1" applyNumberFormat="1" applyFont="1" applyBorder="1"/>
    <xf numFmtId="166" fontId="8" fillId="0" borderId="9" xfId="1" applyNumberFormat="1" applyFont="1" applyBorder="1"/>
    <xf numFmtId="0" fontId="9" fillId="0" borderId="11" xfId="5" applyFont="1" applyBorder="1"/>
    <xf numFmtId="164" fontId="4" fillId="0" borderId="4" xfId="3" applyNumberFormat="1" applyFont="1" applyBorder="1"/>
    <xf numFmtId="164" fontId="24" fillId="3" borderId="4" xfId="3" applyNumberFormat="1" applyFont="1" applyFill="1" applyBorder="1"/>
    <xf numFmtId="165" fontId="0" fillId="0" borderId="0" xfId="3" applyNumberFormat="1" applyFont="1" applyFill="1" applyBorder="1" applyAlignment="1">
      <alignment horizontal="center"/>
    </xf>
    <xf numFmtId="10" fontId="4" fillId="0" borderId="0" xfId="3" applyNumberFormat="1" applyFont="1"/>
    <xf numFmtId="10" fontId="4" fillId="0" borderId="4" xfId="3" applyNumberFormat="1" applyFont="1" applyBorder="1"/>
    <xf numFmtId="10" fontId="4" fillId="6" borderId="4" xfId="3" applyNumberFormat="1" applyFont="1" applyFill="1" applyBorder="1"/>
    <xf numFmtId="9" fontId="0" fillId="0" borderId="4" xfId="3" applyFont="1" applyFill="1" applyBorder="1" applyAlignment="1">
      <alignment horizontal="center"/>
    </xf>
    <xf numFmtId="166" fontId="0" fillId="0" borderId="4" xfId="1" applyNumberFormat="1" applyFont="1" applyFill="1" applyBorder="1" applyProtection="1">
      <protection locked="0"/>
    </xf>
    <xf numFmtId="10" fontId="5" fillId="0" borderId="4" xfId="3" applyNumberFormat="1" applyFont="1" applyBorder="1"/>
    <xf numFmtId="0" fontId="2" fillId="0" borderId="19" xfId="0" applyFont="1" applyBorder="1" applyAlignment="1">
      <alignment horizontal="center" vertical="center"/>
    </xf>
    <xf numFmtId="0" fontId="2" fillId="0" borderId="7" xfId="0" applyFont="1" applyBorder="1" applyAlignment="1">
      <alignment horizontal="center"/>
    </xf>
    <xf numFmtId="44" fontId="0" fillId="0" borderId="4" xfId="2" applyFont="1" applyFill="1" applyBorder="1" applyAlignment="1">
      <alignment horizontal="center"/>
    </xf>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0" borderId="1" xfId="5" applyFont="1" applyBorder="1" applyAlignment="1">
      <alignment horizontal="center" wrapText="1"/>
    </xf>
    <xf numFmtId="0" fontId="5" fillId="0" borderId="3" xfId="5" applyFont="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9">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Normal 2 2" xfId="8" xr:uid="{A8155CDA-6B8A-4C17-BE65-E5EB055003A9}"/>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21</xdr:row>
      <xdr:rowOff>27214</xdr:rowOff>
    </xdr:from>
    <xdr:to>
      <xdr:col>6</xdr:col>
      <xdr:colOff>698601</xdr:colOff>
      <xdr:row>47</xdr:row>
      <xdr:rowOff>86481</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0" y="6531428"/>
          <a:ext cx="11352994" cy="50122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3"/>
  <sheetViews>
    <sheetView workbookViewId="0">
      <selection activeCell="A3" sqref="A3:B3"/>
    </sheetView>
  </sheetViews>
  <sheetFormatPr defaultRowHeight="15" x14ac:dyDescent="0.25"/>
  <cols>
    <col min="1" max="1" width="16.28515625" customWidth="1"/>
    <col min="2" max="2" width="66.7109375" style="27" customWidth="1"/>
    <col min="3" max="3" width="17.42578125" customWidth="1"/>
  </cols>
  <sheetData>
    <row r="1" spans="1:3" ht="18.75" x14ac:dyDescent="0.3">
      <c r="A1" s="244" t="s">
        <v>216</v>
      </c>
      <c r="B1" s="244"/>
    </row>
    <row r="2" spans="1:3" x14ac:dyDescent="0.25">
      <c r="A2" s="245" t="s">
        <v>0</v>
      </c>
      <c r="B2" s="245"/>
    </row>
    <row r="3" spans="1:3" ht="166.9" customHeight="1" x14ac:dyDescent="0.25">
      <c r="A3" s="243" t="s">
        <v>1</v>
      </c>
      <c r="B3" s="243"/>
    </row>
    <row r="4" spans="1:3" x14ac:dyDescent="0.25">
      <c r="B4" s="40"/>
    </row>
    <row r="5" spans="1:3" ht="15.75" x14ac:dyDescent="0.25">
      <c r="A5" s="107" t="s">
        <v>2</v>
      </c>
      <c r="B5" s="26" t="s">
        <v>3</v>
      </c>
      <c r="C5" s="39"/>
    </row>
    <row r="6" spans="1:3" ht="15.75" x14ac:dyDescent="0.25">
      <c r="A6" s="107" t="s">
        <v>2</v>
      </c>
      <c r="B6" s="39" t="s">
        <v>4</v>
      </c>
      <c r="C6" s="39"/>
    </row>
    <row r="7" spans="1:3" ht="15.75" x14ac:dyDescent="0.25">
      <c r="A7" s="106" t="s">
        <v>5</v>
      </c>
      <c r="B7" s="39" t="s">
        <v>6</v>
      </c>
      <c r="C7" s="39"/>
    </row>
    <row r="8" spans="1:3" ht="15.75" x14ac:dyDescent="0.25">
      <c r="A8" s="107" t="s">
        <v>2</v>
      </c>
      <c r="B8" s="26" t="s">
        <v>7</v>
      </c>
      <c r="C8" s="39"/>
    </row>
    <row r="9" spans="1:3" ht="15.75" x14ac:dyDescent="0.25">
      <c r="A9" s="107" t="s">
        <v>2</v>
      </c>
      <c r="B9" s="26" t="s">
        <v>210</v>
      </c>
      <c r="C9" s="39"/>
    </row>
    <row r="10" spans="1:3" ht="15.75" x14ac:dyDescent="0.25">
      <c r="A10" s="107" t="s">
        <v>2</v>
      </c>
      <c r="B10" s="192" t="s">
        <v>211</v>
      </c>
      <c r="C10" s="39"/>
    </row>
    <row r="11" spans="1:3" x14ac:dyDescent="0.25">
      <c r="C11" s="28"/>
    </row>
    <row r="12" spans="1:3" x14ac:dyDescent="0.25">
      <c r="C12" s="28"/>
    </row>
    <row r="13" spans="1:3" x14ac:dyDescent="0.25">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pageSetUpPr fitToPage="1"/>
  </sheetPr>
  <dimension ref="A2:W100"/>
  <sheetViews>
    <sheetView showGridLines="0" tabSelected="1" topLeftCell="B1" zoomScale="80" zoomScaleNormal="80" zoomScaleSheetLayoutView="80" workbookViewId="0">
      <selection activeCell="F81" sqref="F81:F98"/>
    </sheetView>
  </sheetViews>
  <sheetFormatPr defaultRowHeight="15" x14ac:dyDescent="0.25"/>
  <cols>
    <col min="1" max="1" width="14.42578125" customWidth="1"/>
    <col min="2" max="2" width="58.140625" customWidth="1"/>
    <col min="3" max="3" width="16.42578125" customWidth="1"/>
    <col min="4" max="4" width="17.85546875" customWidth="1"/>
    <col min="5" max="5" width="16.42578125" customWidth="1"/>
    <col min="6" max="7" width="18.28515625" customWidth="1"/>
    <col min="8" max="8" width="19.710937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247" t="s">
        <v>8</v>
      </c>
      <c r="C2" s="247"/>
      <c r="D2" s="247"/>
      <c r="E2" s="247"/>
      <c r="F2" s="247"/>
      <c r="G2" s="247"/>
      <c r="H2" s="247"/>
      <c r="I2" s="247"/>
      <c r="J2" s="247"/>
      <c r="K2" s="247"/>
      <c r="L2" s="247"/>
      <c r="M2" s="247"/>
      <c r="N2" s="247"/>
      <c r="O2" s="247"/>
    </row>
    <row r="3" spans="1:15" ht="21" x14ac:dyDescent="0.35">
      <c r="B3" s="248" t="s">
        <v>9</v>
      </c>
      <c r="C3" s="249"/>
      <c r="D3" s="249"/>
      <c r="E3" s="249"/>
      <c r="F3" s="249"/>
      <c r="G3" s="249"/>
      <c r="H3" s="249"/>
      <c r="I3" s="249"/>
      <c r="J3" s="249"/>
      <c r="K3" s="249"/>
      <c r="L3" s="249"/>
      <c r="M3" s="249"/>
      <c r="N3" s="249"/>
      <c r="O3" s="250"/>
    </row>
    <row r="4" spans="1:15" ht="21" x14ac:dyDescent="0.35">
      <c r="B4" s="254" t="s">
        <v>10</v>
      </c>
      <c r="C4" s="255"/>
      <c r="D4" s="255"/>
      <c r="E4" s="255"/>
      <c r="F4" s="255"/>
      <c r="G4" s="255"/>
      <c r="H4" s="255"/>
      <c r="I4" s="255"/>
      <c r="J4" s="255"/>
      <c r="K4" s="255"/>
      <c r="L4" s="255"/>
      <c r="M4" s="255"/>
      <c r="N4" s="255"/>
      <c r="O4" s="256"/>
    </row>
    <row r="6" spans="1:15" ht="18.75" x14ac:dyDescent="0.3">
      <c r="B6" s="251" t="s">
        <v>11</v>
      </c>
      <c r="C6" s="252"/>
      <c r="D6" s="252"/>
      <c r="E6" s="252"/>
      <c r="F6" s="252"/>
      <c r="G6" s="252"/>
      <c r="H6" s="252"/>
      <c r="I6" s="252"/>
      <c r="J6" s="252"/>
      <c r="K6" s="252"/>
      <c r="L6" s="252"/>
      <c r="M6" s="252"/>
      <c r="N6" s="252"/>
      <c r="O6" s="253"/>
    </row>
    <row r="7" spans="1:15" s="50" customFormat="1" ht="18.75" x14ac:dyDescent="0.3">
      <c r="B7" s="49"/>
      <c r="C7" s="49"/>
      <c r="D7" s="49"/>
      <c r="E7" s="49"/>
      <c r="F7" s="49"/>
      <c r="G7" s="49"/>
      <c r="H7" s="49"/>
      <c r="I7" s="49"/>
      <c r="J7" s="49"/>
      <c r="K7" s="49"/>
      <c r="L7" s="49"/>
      <c r="M7" s="49"/>
      <c r="N7" s="49"/>
      <c r="O7" s="49"/>
    </row>
    <row r="8" spans="1:15" ht="18.75" x14ac:dyDescent="0.3">
      <c r="B8" s="91" t="s">
        <v>154</v>
      </c>
      <c r="C8" s="4"/>
    </row>
    <row r="9" spans="1:15" ht="22.15" customHeight="1" x14ac:dyDescent="0.3">
      <c r="B9" s="4"/>
      <c r="C9" s="4"/>
      <c r="E9" s="78"/>
      <c r="F9" s="78"/>
      <c r="G9" s="78"/>
      <c r="H9" s="78"/>
      <c r="I9" s="78"/>
      <c r="K9" s="28"/>
    </row>
    <row r="10" spans="1:15" s="98" customFormat="1" ht="30" x14ac:dyDescent="0.25">
      <c r="B10" s="96" t="s">
        <v>12</v>
      </c>
      <c r="C10" s="96" t="s">
        <v>13</v>
      </c>
      <c r="D10" s="96" t="s">
        <v>14</v>
      </c>
      <c r="E10" s="96" t="s">
        <v>15</v>
      </c>
      <c r="F10" s="96" t="s">
        <v>16</v>
      </c>
      <c r="G10" s="96" t="s">
        <v>17</v>
      </c>
      <c r="H10" s="96" t="s">
        <v>18</v>
      </c>
      <c r="I10" s="97"/>
      <c r="J10" s="99"/>
    </row>
    <row r="11" spans="1:15" x14ac:dyDescent="0.25">
      <c r="B11" s="5" t="s">
        <v>155</v>
      </c>
      <c r="C11" s="83">
        <f>SUM(D11:H11)</f>
        <v>270361371</v>
      </c>
      <c r="D11" s="89">
        <v>110477023</v>
      </c>
      <c r="E11" s="90">
        <f>12642716+17646492+378840</f>
        <v>30668048</v>
      </c>
      <c r="F11" s="90">
        <v>125149452</v>
      </c>
      <c r="G11" s="90">
        <f>-4049216+4680547</f>
        <v>631331</v>
      </c>
      <c r="H11" s="90">
        <v>3435517</v>
      </c>
      <c r="J11" s="28"/>
    </row>
    <row r="12" spans="1:15" ht="14.45" customHeight="1" x14ac:dyDescent="0.25">
      <c r="A12" s="257"/>
      <c r="B12" s="8" t="s">
        <v>19</v>
      </c>
      <c r="C12" s="83">
        <f>SUM(D12:H12)</f>
        <v>22673757.340000004</v>
      </c>
      <c r="D12" s="84"/>
      <c r="E12" s="85"/>
      <c r="F12" s="86">
        <v>21778323.170000002</v>
      </c>
      <c r="G12" s="86">
        <v>895434.17</v>
      </c>
      <c r="H12" s="86"/>
      <c r="L12" s="22"/>
      <c r="M12" s="23"/>
    </row>
    <row r="13" spans="1:15" x14ac:dyDescent="0.25">
      <c r="A13" s="257"/>
      <c r="B13" s="8" t="s">
        <v>20</v>
      </c>
      <c r="C13" s="83">
        <f>SUM(D13:H13)</f>
        <v>-93375</v>
      </c>
      <c r="D13" s="84"/>
      <c r="E13" s="85"/>
      <c r="F13" s="86"/>
      <c r="G13" s="86"/>
      <c r="H13" s="86">
        <v>-93375</v>
      </c>
      <c r="L13" s="22"/>
      <c r="M13" s="23"/>
    </row>
    <row r="14" spans="1:15" x14ac:dyDescent="0.25">
      <c r="A14" s="257"/>
      <c r="B14" s="8" t="s">
        <v>21</v>
      </c>
      <c r="C14" s="83">
        <f>SUM(D14:H14)</f>
        <v>28229748.809999999</v>
      </c>
      <c r="D14" s="84">
        <v>-578423</v>
      </c>
      <c r="E14" s="85">
        <f>1575250+5567545-3587</f>
        <v>7139208</v>
      </c>
      <c r="F14" s="86">
        <v>20710826.829999998</v>
      </c>
      <c r="G14" s="86">
        <v>958136.98</v>
      </c>
      <c r="H14" s="86"/>
      <c r="L14" s="22"/>
      <c r="M14" s="23"/>
    </row>
    <row r="15" spans="1:15" x14ac:dyDescent="0.25">
      <c r="A15" s="257"/>
      <c r="B15" s="8" t="s">
        <v>22</v>
      </c>
      <c r="C15" s="83">
        <f t="shared" ref="C15:C19" si="0">SUM(D15:H15)</f>
        <v>-141188</v>
      </c>
      <c r="D15" s="84"/>
      <c r="E15" s="85">
        <v>-141188</v>
      </c>
      <c r="F15" s="86"/>
      <c r="G15" s="86"/>
      <c r="H15" s="86"/>
      <c r="L15" s="22"/>
      <c r="M15" s="23"/>
    </row>
    <row r="16" spans="1:15" x14ac:dyDescent="0.25">
      <c r="A16" s="257"/>
      <c r="B16" s="10" t="s">
        <v>23</v>
      </c>
      <c r="C16" s="83">
        <f t="shared" si="0"/>
        <v>0</v>
      </c>
      <c r="D16" s="84"/>
      <c r="E16" s="85"/>
      <c r="F16" s="87"/>
      <c r="G16" s="87"/>
      <c r="H16" s="87"/>
      <c r="L16" s="22"/>
      <c r="M16" s="23"/>
    </row>
    <row r="17" spans="1:23" x14ac:dyDescent="0.25">
      <c r="A17" s="257"/>
      <c r="B17" s="10" t="s">
        <v>24</v>
      </c>
      <c r="C17" s="83">
        <f t="shared" si="0"/>
        <v>0</v>
      </c>
      <c r="D17" s="84"/>
      <c r="E17" s="85"/>
      <c r="F17" s="86"/>
      <c r="G17" s="86"/>
      <c r="H17" s="86"/>
      <c r="L17" s="22"/>
      <c r="M17" s="23"/>
    </row>
    <row r="18" spans="1:23" x14ac:dyDescent="0.25">
      <c r="A18" s="257"/>
      <c r="B18" s="10" t="s">
        <v>25</v>
      </c>
      <c r="C18" s="83">
        <f t="shared" si="0"/>
        <v>-6016185.6600000001</v>
      </c>
      <c r="D18" s="84">
        <f>-4231526</f>
        <v>-4231526</v>
      </c>
      <c r="E18" s="85">
        <f>2112651-3832236+72070</f>
        <v>-1647515</v>
      </c>
      <c r="F18" s="86">
        <v>1564218.89</v>
      </c>
      <c r="G18" s="86">
        <v>-1701363.55</v>
      </c>
      <c r="H18" s="86"/>
      <c r="L18" s="22"/>
      <c r="M18" s="23"/>
    </row>
    <row r="19" spans="1:23" x14ac:dyDescent="0.25">
      <c r="A19" s="257"/>
      <c r="B19" s="10" t="s">
        <v>26</v>
      </c>
      <c r="C19" s="83">
        <f t="shared" si="0"/>
        <v>-1749191</v>
      </c>
      <c r="D19" s="84"/>
      <c r="E19" s="85"/>
      <c r="F19" s="86"/>
      <c r="G19" s="86">
        <v>-1749191</v>
      </c>
      <c r="H19" s="86"/>
      <c r="L19" s="22"/>
      <c r="M19" s="23"/>
    </row>
    <row r="20" spans="1:23" x14ac:dyDescent="0.25">
      <c r="B20" s="82" t="s">
        <v>235</v>
      </c>
      <c r="C20" s="83">
        <f>SUM(D20:H20)</f>
        <v>705400</v>
      </c>
      <c r="D20" s="84"/>
      <c r="E20" s="85"/>
      <c r="F20" s="87"/>
      <c r="G20" s="87">
        <v>705400</v>
      </c>
      <c r="H20" s="87"/>
      <c r="O20" s="22"/>
      <c r="P20" s="23"/>
    </row>
    <row r="21" spans="1:23" x14ac:dyDescent="0.25">
      <c r="B21" s="82" t="s">
        <v>27</v>
      </c>
      <c r="C21" s="83">
        <f>SUM(D21:H21)</f>
        <v>0</v>
      </c>
      <c r="D21" s="84"/>
      <c r="E21" s="85"/>
      <c r="F21" s="87"/>
      <c r="G21" s="87"/>
      <c r="H21" s="87"/>
      <c r="O21" s="22"/>
      <c r="P21" s="23"/>
    </row>
    <row r="22" spans="1:23" x14ac:dyDescent="0.25">
      <c r="B22" s="82" t="s">
        <v>27</v>
      </c>
      <c r="C22" s="83">
        <f>SUM(D22:H22)</f>
        <v>0</v>
      </c>
      <c r="D22" s="84"/>
      <c r="E22" s="85"/>
      <c r="F22" s="87"/>
      <c r="G22" s="87"/>
      <c r="H22" s="87"/>
      <c r="O22" s="22"/>
      <c r="P22" s="23"/>
    </row>
    <row r="23" spans="1:23" x14ac:dyDescent="0.25">
      <c r="B23" s="11" t="s">
        <v>156</v>
      </c>
      <c r="C23" s="6">
        <f t="shared" ref="C23:H23" si="1">SUM(C11:C22)</f>
        <v>313970337.49000001</v>
      </c>
      <c r="D23" s="46">
        <f t="shared" si="1"/>
        <v>105667074</v>
      </c>
      <c r="E23" s="46">
        <f t="shared" si="1"/>
        <v>36018553</v>
      </c>
      <c r="F23" s="46">
        <f t="shared" si="1"/>
        <v>169202820.88999999</v>
      </c>
      <c r="G23" s="46">
        <f t="shared" si="1"/>
        <v>-260252.40000000014</v>
      </c>
      <c r="H23" s="46">
        <f t="shared" si="1"/>
        <v>3342142</v>
      </c>
      <c r="O23" s="22"/>
      <c r="P23" s="23"/>
    </row>
    <row r="24" spans="1:23" x14ac:dyDescent="0.25">
      <c r="C24" s="14"/>
      <c r="D24" s="15"/>
      <c r="O24" s="22"/>
      <c r="P24" s="23"/>
    </row>
    <row r="25" spans="1:23" x14ac:dyDescent="0.25">
      <c r="B25" s="29" t="s">
        <v>157</v>
      </c>
      <c r="C25" s="58">
        <f>+C23-C11</f>
        <v>43608966.49000001</v>
      </c>
      <c r="D25" s="19">
        <f t="shared" ref="D25:H25" si="2">+D23-D11</f>
        <v>-4809949</v>
      </c>
      <c r="E25" s="19">
        <f t="shared" si="2"/>
        <v>5350505</v>
      </c>
      <c r="F25" s="19">
        <f t="shared" si="2"/>
        <v>44053368.889999986</v>
      </c>
      <c r="G25" s="19">
        <f t="shared" si="2"/>
        <v>-891583.40000000014</v>
      </c>
      <c r="H25" s="19">
        <f t="shared" si="2"/>
        <v>-93375</v>
      </c>
      <c r="O25" s="22"/>
      <c r="P25" s="23"/>
    </row>
    <row r="26" spans="1:23" x14ac:dyDescent="0.25">
      <c r="B26" s="47" t="s">
        <v>158</v>
      </c>
      <c r="C26" s="48">
        <f>(C25)/C11</f>
        <v>0.16129880658875639</v>
      </c>
      <c r="D26" s="48">
        <f t="shared" ref="D26:H26" si="3">(D25)/D11</f>
        <v>-4.3538003372882342E-2</v>
      </c>
      <c r="E26" s="48">
        <f t="shared" si="3"/>
        <v>0.1744651306141167</v>
      </c>
      <c r="F26" s="48">
        <f t="shared" si="3"/>
        <v>0.35200608701027303</v>
      </c>
      <c r="G26" s="48">
        <f t="shared" si="3"/>
        <v>-1.4122281338948985</v>
      </c>
      <c r="H26" s="48">
        <f t="shared" si="3"/>
        <v>-2.7179315369418925E-2</v>
      </c>
      <c r="O26" s="22"/>
      <c r="P26" s="23"/>
    </row>
    <row r="27" spans="1:23" x14ac:dyDescent="0.25">
      <c r="B27" s="110"/>
      <c r="C27" s="53"/>
      <c r="D27" s="53"/>
      <c r="E27" s="53"/>
      <c r="F27" s="53"/>
      <c r="G27" s="53"/>
      <c r="H27" s="53"/>
      <c r="O27" s="22"/>
      <c r="P27" s="23"/>
    </row>
    <row r="28" spans="1:23" ht="28.15" customHeight="1" x14ac:dyDescent="0.3">
      <c r="B28" s="91" t="s">
        <v>159</v>
      </c>
      <c r="C28" s="4"/>
      <c r="D28" s="15"/>
      <c r="E28" s="15"/>
      <c r="V28" s="22"/>
      <c r="W28" s="23"/>
    </row>
    <row r="29" spans="1:23" ht="18.75" x14ac:dyDescent="0.3">
      <c r="B29" s="91"/>
      <c r="C29" s="4"/>
      <c r="D29" s="15"/>
      <c r="E29" s="15"/>
      <c r="V29" s="22"/>
      <c r="W29" s="23"/>
    </row>
    <row r="30" spans="1:23" s="81" customFormat="1" x14ac:dyDescent="0.25">
      <c r="B30" s="93" t="s">
        <v>28</v>
      </c>
      <c r="C30" s="93" t="s">
        <v>29</v>
      </c>
      <c r="D30" s="93" t="s">
        <v>30</v>
      </c>
      <c r="E30" s="170"/>
      <c r="F30" s="171"/>
      <c r="G30" s="171"/>
      <c r="H30" s="171"/>
      <c r="V30" s="94"/>
      <c r="W30" s="95"/>
    </row>
    <row r="31" spans="1:23" x14ac:dyDescent="0.25">
      <c r="B31" s="5" t="s">
        <v>155</v>
      </c>
      <c r="C31" s="83">
        <v>290985740</v>
      </c>
      <c r="D31" s="7"/>
      <c r="E31" s="181"/>
      <c r="F31" s="181"/>
      <c r="G31" s="173"/>
      <c r="H31" s="173"/>
      <c r="V31" s="22"/>
      <c r="W31" s="23"/>
    </row>
    <row r="32" spans="1:23" x14ac:dyDescent="0.25">
      <c r="B32" s="8" t="s">
        <v>31</v>
      </c>
      <c r="C32" s="88">
        <f>12*70000</f>
        <v>840000</v>
      </c>
      <c r="D32" s="9">
        <f>+C32/C$31</f>
        <v>2.8867393982949128E-3</v>
      </c>
      <c r="E32" s="172"/>
      <c r="F32" s="79"/>
      <c r="G32" s="173"/>
      <c r="H32" s="173"/>
      <c r="V32" s="22"/>
    </row>
    <row r="33" spans="2:22" x14ac:dyDescent="0.25">
      <c r="B33" s="169" t="s">
        <v>179</v>
      </c>
      <c r="C33" s="163">
        <f>'4. Inflation'!D16</f>
        <v>20181344</v>
      </c>
      <c r="D33" s="9">
        <f t="shared" ref="D33:D47" si="4">+C33/C$31</f>
        <v>6.9355096232550775E-2</v>
      </c>
      <c r="E33" s="174"/>
      <c r="F33" s="79"/>
      <c r="G33" s="173"/>
      <c r="H33" s="173"/>
      <c r="V33" s="22"/>
    </row>
    <row r="34" spans="2:22" x14ac:dyDescent="0.25">
      <c r="B34" s="10" t="s">
        <v>242</v>
      </c>
      <c r="C34" s="238">
        <v>803133</v>
      </c>
      <c r="D34" s="9">
        <f t="shared" si="4"/>
        <v>2.7600424680604622E-3</v>
      </c>
      <c r="E34" s="172"/>
      <c r="F34" s="172"/>
      <c r="G34" s="173"/>
      <c r="H34" s="173"/>
      <c r="V34" s="22"/>
    </row>
    <row r="35" spans="2:22" x14ac:dyDescent="0.25">
      <c r="B35" s="10" t="s">
        <v>33</v>
      </c>
      <c r="C35" s="88"/>
      <c r="D35" s="9">
        <f t="shared" si="4"/>
        <v>0</v>
      </c>
      <c r="E35" s="172"/>
      <c r="F35" s="172"/>
      <c r="G35" s="173"/>
      <c r="H35" s="173"/>
      <c r="V35" s="22"/>
    </row>
    <row r="36" spans="2:22" x14ac:dyDescent="0.25">
      <c r="B36" s="10" t="s">
        <v>34</v>
      </c>
      <c r="C36" s="88">
        <v>0</v>
      </c>
      <c r="D36" s="9">
        <f t="shared" si="4"/>
        <v>0</v>
      </c>
      <c r="E36" s="172"/>
      <c r="F36" s="172"/>
      <c r="G36" s="173"/>
      <c r="H36" s="173"/>
      <c r="V36" s="22"/>
    </row>
    <row r="37" spans="2:22" x14ac:dyDescent="0.25">
      <c r="B37" s="10" t="s">
        <v>35</v>
      </c>
      <c r="C37" s="88">
        <v>4109176</v>
      </c>
      <c r="D37" s="9">
        <f t="shared" si="4"/>
        <v>1.412157173062845E-2</v>
      </c>
      <c r="E37" s="172"/>
      <c r="F37" s="172"/>
      <c r="G37" s="173"/>
      <c r="H37" s="173"/>
      <c r="V37" s="22"/>
    </row>
    <row r="38" spans="2:22" x14ac:dyDescent="0.25">
      <c r="B38" s="10" t="s">
        <v>36</v>
      </c>
      <c r="C38" s="88">
        <v>-2219511</v>
      </c>
      <c r="D38" s="9">
        <f t="shared" si="4"/>
        <v>-7.6275593436296914E-3</v>
      </c>
      <c r="E38" s="172"/>
      <c r="F38" s="172"/>
      <c r="G38" s="173"/>
      <c r="H38" s="173"/>
      <c r="V38" s="22"/>
    </row>
    <row r="39" spans="2:22" x14ac:dyDescent="0.25">
      <c r="B39" s="10" t="s">
        <v>37</v>
      </c>
      <c r="C39" s="88">
        <v>3164914</v>
      </c>
      <c r="D39" s="9">
        <f t="shared" si="4"/>
        <v>1.0876526114303746E-2</v>
      </c>
      <c r="E39" s="172"/>
      <c r="F39" s="172"/>
      <c r="G39" s="173"/>
      <c r="H39" s="173"/>
    </row>
    <row r="40" spans="2:22" x14ac:dyDescent="0.25">
      <c r="B40" s="10" t="s">
        <v>38</v>
      </c>
      <c r="C40" s="88">
        <v>2773703</v>
      </c>
      <c r="D40" s="9">
        <f t="shared" si="4"/>
        <v>9.5320925348438036E-3</v>
      </c>
      <c r="E40" s="172"/>
      <c r="F40" s="172"/>
      <c r="G40" s="173"/>
      <c r="H40" s="173"/>
    </row>
    <row r="41" spans="2:22" x14ac:dyDescent="0.25">
      <c r="B41" s="10" t="s">
        <v>39</v>
      </c>
      <c r="C41" s="88">
        <v>-250000</v>
      </c>
      <c r="D41" s="9">
        <f>+C41/C$31</f>
        <v>-8.591486304449146E-4</v>
      </c>
      <c r="E41" s="172"/>
      <c r="F41" s="172"/>
      <c r="G41" s="173"/>
      <c r="H41" s="173"/>
    </row>
    <row r="42" spans="2:22" x14ac:dyDescent="0.25">
      <c r="B42" s="82" t="s">
        <v>182</v>
      </c>
      <c r="C42" s="88">
        <f>2303569-420516+250000</f>
        <v>2133053</v>
      </c>
      <c r="D42" s="9">
        <f>+C42/C$31</f>
        <v>7.3304382544656654E-3</v>
      </c>
      <c r="E42" s="172"/>
      <c r="F42" s="172"/>
      <c r="G42" s="173"/>
      <c r="H42" s="173"/>
    </row>
    <row r="43" spans="2:22" x14ac:dyDescent="0.25">
      <c r="B43" s="82" t="s">
        <v>241</v>
      </c>
      <c r="C43" s="88">
        <v>46996</v>
      </c>
      <c r="D43" s="9">
        <f>+C43/C$31</f>
        <v>1.6150619614555684E-4</v>
      </c>
      <c r="E43" s="172"/>
      <c r="F43" s="172"/>
      <c r="G43" s="173"/>
      <c r="H43" s="173"/>
    </row>
    <row r="44" spans="2:22" x14ac:dyDescent="0.25">
      <c r="B44" s="82" t="s">
        <v>183</v>
      </c>
      <c r="C44" s="238">
        <v>2807164</v>
      </c>
      <c r="D44" s="9">
        <f t="shared" ref="D44:D45" si="5">+C44/C$31</f>
        <v>9.6470844241370729E-3</v>
      </c>
      <c r="E44" s="172"/>
      <c r="F44" s="172"/>
      <c r="G44" s="173"/>
      <c r="H44" s="173"/>
    </row>
    <row r="45" spans="2:22" x14ac:dyDescent="0.25">
      <c r="B45" s="82" t="s">
        <v>184</v>
      </c>
      <c r="C45" s="88">
        <v>548803</v>
      </c>
      <c r="D45" s="9">
        <f t="shared" si="5"/>
        <v>1.8860133833362418E-3</v>
      </c>
      <c r="E45" s="172"/>
      <c r="F45" s="172"/>
      <c r="G45" s="173"/>
      <c r="H45" s="173"/>
    </row>
    <row r="46" spans="2:22" x14ac:dyDescent="0.25">
      <c r="B46" s="82" t="s">
        <v>243</v>
      </c>
      <c r="C46" s="88">
        <v>865004</v>
      </c>
      <c r="D46" s="9">
        <f t="shared" si="4"/>
        <v>2.9726680077174915E-3</v>
      </c>
      <c r="E46" s="172"/>
      <c r="F46" s="172"/>
      <c r="G46" s="173"/>
      <c r="H46" s="173"/>
    </row>
    <row r="47" spans="2:22" x14ac:dyDescent="0.25">
      <c r="B47" s="82" t="s">
        <v>40</v>
      </c>
      <c r="C47" s="238">
        <v>-727047</v>
      </c>
      <c r="D47" s="9">
        <f t="shared" si="4"/>
        <v>-2.4985657372763354E-3</v>
      </c>
      <c r="E47" s="172"/>
      <c r="F47" s="172"/>
      <c r="G47" s="173"/>
      <c r="H47" s="173"/>
    </row>
    <row r="48" spans="2:22" x14ac:dyDescent="0.25">
      <c r="B48" s="11" t="s">
        <v>156</v>
      </c>
      <c r="C48" s="12">
        <f>SUM(C31:C47)</f>
        <v>326062472</v>
      </c>
      <c r="D48" s="13">
        <f>SUM(D32:D47)</f>
        <v>0.12054450503313323</v>
      </c>
      <c r="E48" s="172"/>
      <c r="F48" s="233"/>
      <c r="G48" s="173"/>
      <c r="H48" s="173"/>
    </row>
    <row r="49" spans="1:23" x14ac:dyDescent="0.25">
      <c r="B49" s="79"/>
      <c r="C49" s="80"/>
      <c r="D49" s="71"/>
      <c r="E49" s="71"/>
    </row>
    <row r="50" spans="1:23" x14ac:dyDescent="0.25">
      <c r="B50" s="29" t="s">
        <v>157</v>
      </c>
      <c r="C50" s="58">
        <f>+C48-C31</f>
        <v>35076732</v>
      </c>
      <c r="D50" s="71"/>
      <c r="E50" s="71"/>
    </row>
    <row r="51" spans="1:23" x14ac:dyDescent="0.25">
      <c r="B51" s="47" t="s">
        <v>158</v>
      </c>
      <c r="C51" s="48">
        <f>(C50)/C31</f>
        <v>0.12054450503313324</v>
      </c>
      <c r="D51" s="71"/>
      <c r="E51" s="71"/>
    </row>
    <row r="52" spans="1:23" x14ac:dyDescent="0.25">
      <c r="B52" s="110"/>
      <c r="C52" s="53"/>
      <c r="D52" s="53"/>
      <c r="E52" s="53"/>
      <c r="F52" s="53"/>
      <c r="G52" s="53"/>
      <c r="H52" s="53"/>
      <c r="O52" s="22"/>
      <c r="P52" s="23"/>
    </row>
    <row r="54" spans="1:23" ht="18.75" x14ac:dyDescent="0.3">
      <c r="B54" s="251" t="s">
        <v>41</v>
      </c>
      <c r="C54" s="252"/>
      <c r="D54" s="252"/>
      <c r="E54" s="252"/>
      <c r="F54" s="252"/>
      <c r="G54" s="252"/>
      <c r="H54" s="252"/>
      <c r="I54" s="252"/>
      <c r="J54" s="252"/>
      <c r="K54" s="252"/>
      <c r="L54" s="252"/>
      <c r="M54" s="252"/>
      <c r="N54" s="252"/>
      <c r="O54" s="253"/>
      <c r="V54" s="22"/>
      <c r="W54" s="23"/>
    </row>
    <row r="55" spans="1:23" x14ac:dyDescent="0.25">
      <c r="B55" s="17"/>
    </row>
    <row r="56" spans="1:23" ht="18.75" x14ac:dyDescent="0.3">
      <c r="B56" s="91" t="s">
        <v>160</v>
      </c>
      <c r="C56" s="4"/>
    </row>
    <row r="57" spans="1:23" ht="18.75" x14ac:dyDescent="0.3">
      <c r="B57" s="91"/>
      <c r="C57" s="4"/>
    </row>
    <row r="58" spans="1:23" ht="18.75" x14ac:dyDescent="0.3">
      <c r="B58" s="91" t="s">
        <v>42</v>
      </c>
      <c r="C58" s="132" t="s">
        <v>161</v>
      </c>
    </row>
    <row r="59" spans="1:23" s="81" customFormat="1" ht="30" x14ac:dyDescent="0.25">
      <c r="B59" s="92" t="s">
        <v>12</v>
      </c>
      <c r="C59" s="92" t="s">
        <v>13</v>
      </c>
      <c r="D59" s="92" t="s">
        <v>14</v>
      </c>
      <c r="E59" s="92" t="s">
        <v>15</v>
      </c>
      <c r="F59" s="92" t="s">
        <v>16</v>
      </c>
      <c r="G59" s="92" t="s">
        <v>17</v>
      </c>
      <c r="H59" s="92" t="s">
        <v>18</v>
      </c>
    </row>
    <row r="60" spans="1:23" x14ac:dyDescent="0.25">
      <c r="B60" s="5" t="s">
        <v>162</v>
      </c>
      <c r="C60" s="83">
        <f>SUM(D60:H60)</f>
        <v>299635529.61000001</v>
      </c>
      <c r="D60" s="89">
        <v>108099245.19</v>
      </c>
      <c r="E60" s="90">
        <v>38378533.560000002</v>
      </c>
      <c r="F60" s="90">
        <v>150702568.97</v>
      </c>
      <c r="G60" s="90">
        <v>-905708.11</v>
      </c>
      <c r="H60" s="90">
        <v>3360890</v>
      </c>
    </row>
    <row r="61" spans="1:23" ht="14.45" customHeight="1" x14ac:dyDescent="0.25">
      <c r="A61" s="246"/>
      <c r="B61" s="8" t="s">
        <v>19</v>
      </c>
      <c r="C61" s="83">
        <f>SUM(D61:H61)</f>
        <v>22673757.340000004</v>
      </c>
      <c r="D61" s="84"/>
      <c r="E61" s="85"/>
      <c r="F61" s="86">
        <v>21778323.170000002</v>
      </c>
      <c r="G61" s="86">
        <v>895434.17</v>
      </c>
      <c r="H61" s="86"/>
      <c r="L61" s="22"/>
      <c r="M61" s="23"/>
    </row>
    <row r="62" spans="1:23" x14ac:dyDescent="0.25">
      <c r="A62" s="246"/>
      <c r="B62" s="8" t="s">
        <v>20</v>
      </c>
      <c r="C62" s="83">
        <f>SUM(D62:H62)</f>
        <v>-18748</v>
      </c>
      <c r="D62" s="84"/>
      <c r="E62" s="85"/>
      <c r="F62" s="86"/>
      <c r="G62" s="86"/>
      <c r="H62" s="86">
        <v>-18748</v>
      </c>
      <c r="L62" s="22"/>
      <c r="M62" s="23"/>
    </row>
    <row r="63" spans="1:23" x14ac:dyDescent="0.25">
      <c r="A63" s="246"/>
      <c r="B63" s="8" t="s">
        <v>21</v>
      </c>
      <c r="C63" s="83">
        <f>SUM(D63:H63)</f>
        <v>-2336744.61</v>
      </c>
      <c r="D63" s="84">
        <v>-736515.76</v>
      </c>
      <c r="E63" s="85">
        <v>-104297.14</v>
      </c>
      <c r="F63" s="86">
        <v>-1409285.75</v>
      </c>
      <c r="G63" s="86">
        <v>-86645.96</v>
      </c>
      <c r="H63" s="86"/>
      <c r="L63" s="22"/>
      <c r="M63" s="23"/>
    </row>
    <row r="64" spans="1:23" x14ac:dyDescent="0.25">
      <c r="A64" s="246"/>
      <c r="B64" s="8" t="s">
        <v>22</v>
      </c>
      <c r="C64" s="83">
        <f t="shared" ref="C64:C71" si="6">SUM(D64:H64)</f>
        <v>-1557598.76</v>
      </c>
      <c r="D64" s="84"/>
      <c r="E64" s="85">
        <v>-1537036.58</v>
      </c>
      <c r="F64" s="86">
        <v>-20562.18</v>
      </c>
      <c r="G64" s="86"/>
      <c r="H64" s="86"/>
      <c r="L64" s="22"/>
      <c r="M64" s="23"/>
    </row>
    <row r="65" spans="2:23" x14ac:dyDescent="0.25">
      <c r="B65" s="10" t="s">
        <v>23</v>
      </c>
      <c r="C65" s="83">
        <f t="shared" si="6"/>
        <v>0</v>
      </c>
      <c r="D65" s="84"/>
      <c r="E65" s="85"/>
      <c r="F65" s="87"/>
      <c r="G65" s="87"/>
      <c r="H65" s="87"/>
      <c r="L65" s="22"/>
      <c r="M65" s="23"/>
    </row>
    <row r="66" spans="2:23" x14ac:dyDescent="0.25">
      <c r="B66" s="10" t="s">
        <v>24</v>
      </c>
      <c r="C66" s="83">
        <f t="shared" si="6"/>
        <v>0</v>
      </c>
      <c r="D66" s="84"/>
      <c r="E66" s="85"/>
      <c r="F66" s="86"/>
      <c r="G66" s="86"/>
      <c r="H66" s="86"/>
      <c r="L66" s="22"/>
      <c r="M66" s="23"/>
    </row>
    <row r="67" spans="2:23" x14ac:dyDescent="0.25">
      <c r="B67" s="10" t="s">
        <v>25</v>
      </c>
      <c r="C67" s="83">
        <f t="shared" si="6"/>
        <v>-4208452.3</v>
      </c>
      <c r="D67" s="84">
        <v>-1695655.18</v>
      </c>
      <c r="E67" s="85">
        <v>-718647.37</v>
      </c>
      <c r="F67" s="86">
        <v>-1848223.75</v>
      </c>
      <c r="G67" s="86">
        <v>54074</v>
      </c>
      <c r="H67" s="86"/>
      <c r="L67" s="22"/>
      <c r="M67" s="23"/>
    </row>
    <row r="68" spans="2:23" x14ac:dyDescent="0.25">
      <c r="B68" s="10" t="s">
        <v>26</v>
      </c>
      <c r="C68" s="83">
        <f t="shared" si="6"/>
        <v>-217405.91</v>
      </c>
      <c r="D68" s="84"/>
      <c r="E68" s="85"/>
      <c r="F68" s="86"/>
      <c r="G68" s="86">
        <v>-217405.91</v>
      </c>
      <c r="H68" s="86"/>
      <c r="L68" s="22"/>
      <c r="M68" s="23"/>
    </row>
    <row r="69" spans="2:23" x14ac:dyDescent="0.25">
      <c r="B69" s="82" t="s">
        <v>27</v>
      </c>
      <c r="C69" s="83">
        <f t="shared" si="6"/>
        <v>0</v>
      </c>
      <c r="D69" s="84"/>
      <c r="E69" s="85"/>
      <c r="F69" s="87"/>
      <c r="G69" s="87"/>
      <c r="H69" s="87"/>
      <c r="L69" s="22"/>
      <c r="M69" s="23"/>
    </row>
    <row r="70" spans="2:23" x14ac:dyDescent="0.25">
      <c r="B70" s="82" t="s">
        <v>27</v>
      </c>
      <c r="C70" s="83">
        <f t="shared" si="6"/>
        <v>0</v>
      </c>
      <c r="D70" s="84"/>
      <c r="E70" s="85"/>
      <c r="F70" s="87"/>
      <c r="G70" s="87"/>
      <c r="H70" s="87"/>
      <c r="L70" s="22"/>
      <c r="M70" s="23"/>
    </row>
    <row r="71" spans="2:23" x14ac:dyDescent="0.25">
      <c r="B71" s="82" t="s">
        <v>27</v>
      </c>
      <c r="C71" s="83">
        <f t="shared" si="6"/>
        <v>0</v>
      </c>
      <c r="D71" s="84"/>
      <c r="E71" s="85"/>
      <c r="F71" s="87"/>
      <c r="G71" s="87"/>
      <c r="H71" s="87"/>
      <c r="L71" s="22"/>
      <c r="M71" s="23"/>
    </row>
    <row r="72" spans="2:23" x14ac:dyDescent="0.25">
      <c r="B72" s="11" t="s">
        <v>156</v>
      </c>
      <c r="C72" s="6">
        <f t="shared" ref="C72:H72" si="7">SUM(C60:C71)</f>
        <v>313970337.37</v>
      </c>
      <c r="D72" s="46">
        <f t="shared" si="7"/>
        <v>105667074.24999999</v>
      </c>
      <c r="E72" s="46">
        <f t="shared" si="7"/>
        <v>36018552.470000006</v>
      </c>
      <c r="F72" s="46">
        <f t="shared" si="7"/>
        <v>169202820.45999998</v>
      </c>
      <c r="G72" s="46">
        <f t="shared" si="7"/>
        <v>-260251.80999999994</v>
      </c>
      <c r="H72" s="46">
        <f t="shared" si="7"/>
        <v>3342142</v>
      </c>
      <c r="L72" s="22"/>
      <c r="M72" s="23"/>
    </row>
    <row r="73" spans="2:23" x14ac:dyDescent="0.25">
      <c r="C73" s="14"/>
      <c r="D73" s="15"/>
      <c r="L73" s="22"/>
      <c r="M73" s="23"/>
    </row>
    <row r="74" spans="2:23" x14ac:dyDescent="0.25">
      <c r="B74" s="29" t="s">
        <v>165</v>
      </c>
      <c r="C74" s="58">
        <f>+C72-C60</f>
        <v>14334807.75999999</v>
      </c>
      <c r="D74" s="58">
        <f t="shared" ref="D74:E74" si="8">+D72-D60</f>
        <v>-2432170.9400000125</v>
      </c>
      <c r="E74" s="58">
        <f t="shared" si="8"/>
        <v>-2359981.0899999961</v>
      </c>
      <c r="F74" s="19">
        <f>+F72-F60</f>
        <v>18500251.48999998</v>
      </c>
      <c r="G74" s="19">
        <f>+G72-G60</f>
        <v>645456.30000000005</v>
      </c>
      <c r="H74" s="19">
        <f>+H72-H60</f>
        <v>-18748</v>
      </c>
      <c r="L74" s="22"/>
      <c r="M74" s="23"/>
    </row>
    <row r="75" spans="2:23" x14ac:dyDescent="0.25">
      <c r="B75" s="47" t="s">
        <v>164</v>
      </c>
      <c r="C75" s="48">
        <f>(C74)/C60</f>
        <v>4.784081440094206E-2</v>
      </c>
      <c r="D75" s="48">
        <f t="shared" ref="D75:H75" si="9">(D74)/D60</f>
        <v>-2.2499425742752613E-2</v>
      </c>
      <c r="E75" s="48">
        <f t="shared" si="9"/>
        <v>-6.1492216379514943E-2</v>
      </c>
      <c r="F75" s="48">
        <f t="shared" si="9"/>
        <v>0.12276002736013598</v>
      </c>
      <c r="G75" s="48">
        <f t="shared" si="9"/>
        <v>-0.71265377098146998</v>
      </c>
      <c r="H75" s="48">
        <f t="shared" si="9"/>
        <v>-5.5782843234976447E-3</v>
      </c>
      <c r="L75" s="22"/>
      <c r="M75" s="23"/>
    </row>
    <row r="76" spans="2:23" x14ac:dyDescent="0.25">
      <c r="B76" s="110"/>
      <c r="C76" s="53"/>
      <c r="D76" s="15"/>
      <c r="E76" s="15"/>
      <c r="K76" s="23"/>
      <c r="L76" s="23"/>
      <c r="M76" s="14"/>
      <c r="N76" s="24"/>
      <c r="V76" s="22"/>
      <c r="W76" s="23"/>
    </row>
    <row r="77" spans="2:23" ht="19.899999999999999" customHeight="1" x14ac:dyDescent="0.3">
      <c r="B77" s="91" t="s">
        <v>163</v>
      </c>
      <c r="C77" s="4"/>
      <c r="D77" s="15"/>
      <c r="E77" s="15"/>
      <c r="V77" s="22"/>
      <c r="W77" s="23"/>
    </row>
    <row r="78" spans="2:23" ht="18.75" x14ac:dyDescent="0.3">
      <c r="B78" s="91"/>
      <c r="C78" s="4"/>
      <c r="D78" s="15"/>
      <c r="E78" s="15"/>
      <c r="V78" s="22"/>
      <c r="W78" s="23"/>
    </row>
    <row r="79" spans="2:23" x14ac:dyDescent="0.25">
      <c r="B79" s="93" t="s">
        <v>28</v>
      </c>
      <c r="C79" s="93" t="s">
        <v>29</v>
      </c>
      <c r="D79" s="93" t="s">
        <v>30</v>
      </c>
      <c r="E79" s="54"/>
      <c r="V79" s="22"/>
      <c r="W79" s="23"/>
    </row>
    <row r="80" spans="2:23" x14ac:dyDescent="0.25">
      <c r="B80" s="5" t="s">
        <v>162</v>
      </c>
      <c r="C80" s="83">
        <v>338735708</v>
      </c>
      <c r="D80" s="7"/>
      <c r="E80" s="53"/>
      <c r="V80" s="22"/>
      <c r="W80" s="23"/>
    </row>
    <row r="81" spans="2:22" x14ac:dyDescent="0.25">
      <c r="B81" s="8" t="s">
        <v>31</v>
      </c>
      <c r="C81" s="238">
        <v>2700000</v>
      </c>
      <c r="D81" s="9">
        <f>+C81/C$31</f>
        <v>9.2788052088050767E-3</v>
      </c>
      <c r="E81" s="55"/>
      <c r="V81" s="22"/>
    </row>
    <row r="82" spans="2:22" x14ac:dyDescent="0.25">
      <c r="B82" s="10" t="s">
        <v>32</v>
      </c>
      <c r="C82" s="88">
        <f>3198966+442769.68</f>
        <v>3641735.68</v>
      </c>
      <c r="D82" s="9">
        <f t="shared" ref="D82:D95" si="10">+C82/C$31</f>
        <v>1.2515168887657519E-2</v>
      </c>
      <c r="E82" s="55"/>
      <c r="V82" s="22"/>
    </row>
    <row r="83" spans="2:22" x14ac:dyDescent="0.25">
      <c r="B83" s="10" t="s">
        <v>33</v>
      </c>
      <c r="C83" s="238">
        <v>-15074790</v>
      </c>
      <c r="D83" s="9">
        <f t="shared" si="10"/>
        <v>-5.1805940730978779E-2</v>
      </c>
      <c r="E83" s="55"/>
      <c r="V83" s="22"/>
    </row>
    <row r="84" spans="2:22" x14ac:dyDescent="0.25">
      <c r="B84" s="10" t="s">
        <v>34</v>
      </c>
      <c r="C84" s="88">
        <v>2599559</v>
      </c>
      <c r="D84" s="9">
        <f t="shared" si="10"/>
        <v>8.9336302184430064E-3</v>
      </c>
      <c r="E84" s="55"/>
      <c r="V84" s="22"/>
    </row>
    <row r="85" spans="2:22" x14ac:dyDescent="0.25">
      <c r="B85" s="10" t="s">
        <v>35</v>
      </c>
      <c r="C85" s="88">
        <v>-8199000</v>
      </c>
      <c r="D85" s="9">
        <f t="shared" si="10"/>
        <v>-2.8176638484071419E-2</v>
      </c>
      <c r="E85" s="55"/>
      <c r="V85" s="22"/>
    </row>
    <row r="86" spans="2:22" x14ac:dyDescent="0.25">
      <c r="B86" s="10" t="s">
        <v>36</v>
      </c>
      <c r="C86" s="88">
        <v>-2443875</v>
      </c>
      <c r="D86" s="9">
        <f t="shared" si="10"/>
        <v>-8.3986074369142624E-3</v>
      </c>
      <c r="E86" s="55"/>
      <c r="V86" s="22"/>
    </row>
    <row r="87" spans="2:22" x14ac:dyDescent="0.25">
      <c r="B87" s="10" t="s">
        <v>37</v>
      </c>
      <c r="C87" s="88">
        <v>1729228</v>
      </c>
      <c r="D87" s="9">
        <f t="shared" si="10"/>
        <v>5.9426554717079954E-3</v>
      </c>
      <c r="E87" s="55"/>
    </row>
    <row r="88" spans="2:22" x14ac:dyDescent="0.25">
      <c r="B88" s="10" t="s">
        <v>38</v>
      </c>
      <c r="C88" s="238">
        <v>860088</v>
      </c>
      <c r="D88" s="9">
        <f t="shared" si="10"/>
        <v>2.9557737090484229E-3</v>
      </c>
      <c r="E88" s="55"/>
    </row>
    <row r="89" spans="2:22" x14ac:dyDescent="0.25">
      <c r="B89" s="10" t="s">
        <v>251</v>
      </c>
      <c r="C89" s="238">
        <v>615008</v>
      </c>
      <c r="D89" s="9">
        <f t="shared" si="10"/>
        <v>2.1135331236506643E-3</v>
      </c>
      <c r="E89" s="55"/>
    </row>
    <row r="90" spans="2:22" x14ac:dyDescent="0.25">
      <c r="B90" s="82" t="s">
        <v>39</v>
      </c>
      <c r="C90" s="238"/>
      <c r="D90" s="9">
        <f t="shared" ref="D90:D91" si="11">+C90/C$31</f>
        <v>0</v>
      </c>
      <c r="E90" s="55"/>
    </row>
    <row r="91" spans="2:22" x14ac:dyDescent="0.25">
      <c r="B91" s="82" t="s">
        <v>183</v>
      </c>
      <c r="C91" s="238">
        <f>(C44/12)*9</f>
        <v>2105373</v>
      </c>
      <c r="D91" s="9">
        <f t="shared" si="11"/>
        <v>7.2353133181028047E-3</v>
      </c>
      <c r="E91" s="55"/>
    </row>
    <row r="92" spans="2:22" x14ac:dyDescent="0.25">
      <c r="B92" s="82" t="s">
        <v>184</v>
      </c>
      <c r="C92" s="238">
        <v>769906</v>
      </c>
      <c r="D92" s="9">
        <f t="shared" si="10"/>
        <v>2.6458547418852897E-3</v>
      </c>
      <c r="E92" s="55"/>
    </row>
    <row r="93" spans="2:22" x14ac:dyDescent="0.25">
      <c r="B93" s="82" t="s">
        <v>250</v>
      </c>
      <c r="C93" s="238">
        <f>-1637595-49770</f>
        <v>-1687365</v>
      </c>
      <c r="D93" s="9">
        <f t="shared" si="10"/>
        <v>-5.7987893152427333E-3</v>
      </c>
      <c r="E93" s="55"/>
    </row>
    <row r="94" spans="2:22" x14ac:dyDescent="0.25">
      <c r="B94" s="82" t="s">
        <v>243</v>
      </c>
      <c r="C94" s="238">
        <v>123612</v>
      </c>
      <c r="D94" s="9">
        <f t="shared" ref="D94" si="12">+C94/C$31</f>
        <v>4.2480432202622712E-4</v>
      </c>
      <c r="E94" s="55"/>
    </row>
    <row r="95" spans="2:22" x14ac:dyDescent="0.25">
      <c r="B95" s="82" t="s">
        <v>40</v>
      </c>
      <c r="C95" s="238">
        <v>-412716</v>
      </c>
      <c r="D95" s="9">
        <f t="shared" si="10"/>
        <v>-1.4183375446508134E-3</v>
      </c>
      <c r="E95" s="55"/>
    </row>
    <row r="96" spans="2:22" x14ac:dyDescent="0.25">
      <c r="B96" s="11" t="s">
        <v>156</v>
      </c>
      <c r="C96" s="12">
        <f>SUM(C80:C95)</f>
        <v>326062471.68000001</v>
      </c>
      <c r="D96" s="13">
        <f>SUM(D81:D95)</f>
        <v>-4.3552774510530995E-2</v>
      </c>
      <c r="E96" s="55"/>
      <c r="F96" s="14"/>
    </row>
    <row r="97" spans="2:16" x14ac:dyDescent="0.25">
      <c r="E97" s="50"/>
    </row>
    <row r="98" spans="2:16" x14ac:dyDescent="0.25">
      <c r="B98" s="29" t="s">
        <v>165</v>
      </c>
      <c r="C98" s="58">
        <f>+C96-C80</f>
        <v>-12673236.319999993</v>
      </c>
      <c r="E98" s="50"/>
    </row>
    <row r="99" spans="2:16" x14ac:dyDescent="0.25">
      <c r="B99" s="47" t="s">
        <v>164</v>
      </c>
      <c r="C99" s="48">
        <f>(C98)/C80</f>
        <v>-3.7413346218580515E-2</v>
      </c>
      <c r="E99" s="50"/>
    </row>
    <row r="100" spans="2:16" x14ac:dyDescent="0.25">
      <c r="B100" s="110"/>
      <c r="C100" s="53"/>
      <c r="D100" s="53"/>
      <c r="E100" s="53"/>
      <c r="F100" s="53"/>
      <c r="G100" s="53"/>
      <c r="H100" s="53"/>
      <c r="O100" s="22"/>
      <c r="P100" s="23"/>
    </row>
  </sheetData>
  <mergeCells count="7">
    <mergeCell ref="A61:A64"/>
    <mergeCell ref="B2:O2"/>
    <mergeCell ref="B3:O3"/>
    <mergeCell ref="B6:O6"/>
    <mergeCell ref="B4:O4"/>
    <mergeCell ref="B54:O54"/>
    <mergeCell ref="A12:A19"/>
  </mergeCells>
  <pageMargins left="0.7" right="0.7" top="0.5" bottom="0.5" header="0.3" footer="0.3"/>
  <pageSetup scale="42" fitToHeight="4" orientation="landscape" r:id="rId1"/>
  <headerFooter>
    <oddFooter>&amp;L&amp;D&amp;R&amp;F,&amp;A</oddFooter>
  </headerFooter>
  <rowBreaks count="1" manualBreakCount="1">
    <brk id="53"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K87"/>
  <sheetViews>
    <sheetView showGridLines="0" zoomScale="90" zoomScaleNormal="90" workbookViewId="0">
      <selection activeCell="H68" sqref="H68"/>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56" customWidth="1"/>
    <col min="9" max="11" width="17.7109375" style="1" customWidth="1"/>
    <col min="12" max="16384" width="8.85546875" style="1"/>
  </cols>
  <sheetData>
    <row r="2" spans="2:9" x14ac:dyDescent="0.25">
      <c r="B2" s="247" t="s">
        <v>43</v>
      </c>
      <c r="C2" s="247"/>
      <c r="D2" s="247"/>
      <c r="E2" s="247"/>
      <c r="F2" s="247"/>
      <c r="G2" s="247"/>
      <c r="H2" s="247"/>
      <c r="I2" s="247"/>
    </row>
    <row r="3" spans="2:9" ht="18.75" x14ac:dyDescent="0.3">
      <c r="B3" s="281" t="s">
        <v>9</v>
      </c>
      <c r="C3" s="282"/>
      <c r="D3" s="282"/>
      <c r="E3" s="282"/>
      <c r="F3" s="282"/>
      <c r="G3" s="282"/>
      <c r="H3" s="282"/>
      <c r="I3" s="283"/>
    </row>
    <row r="4" spans="2:9" ht="18.75" x14ac:dyDescent="0.3">
      <c r="B4" s="284" t="s">
        <v>44</v>
      </c>
      <c r="C4" s="285"/>
      <c r="D4" s="285"/>
      <c r="E4" s="285"/>
      <c r="F4" s="285"/>
      <c r="G4" s="285"/>
      <c r="H4" s="285"/>
      <c r="I4" s="286"/>
    </row>
    <row r="5" spans="2:9" ht="34.9" customHeight="1" x14ac:dyDescent="0.25">
      <c r="B5" s="280" t="s">
        <v>45</v>
      </c>
      <c r="C5" s="280"/>
      <c r="D5" s="280"/>
      <c r="E5" s="280"/>
      <c r="F5" s="280"/>
      <c r="G5" s="280"/>
      <c r="H5" s="111"/>
    </row>
    <row r="6" spans="2:9" x14ac:dyDescent="0.25">
      <c r="B6" s="112"/>
      <c r="C6" s="112"/>
      <c r="D6" s="112"/>
      <c r="E6" s="112"/>
      <c r="F6" s="112"/>
      <c r="G6" s="112"/>
      <c r="H6" s="111"/>
    </row>
    <row r="7" spans="2:9" ht="29.45" customHeight="1" x14ac:dyDescent="0.25">
      <c r="B7" s="287" t="s">
        <v>180</v>
      </c>
      <c r="C7" s="288"/>
      <c r="D7" s="288"/>
      <c r="E7" s="288"/>
      <c r="F7" s="289"/>
      <c r="H7" s="1"/>
    </row>
    <row r="8" spans="2:9" x14ac:dyDescent="0.25">
      <c r="B8" s="290" t="s">
        <v>46</v>
      </c>
      <c r="C8" s="291"/>
      <c r="D8" s="291"/>
      <c r="E8" s="291"/>
      <c r="F8" s="292"/>
      <c r="H8" s="1"/>
    </row>
    <row r="9" spans="2:9" ht="42.75" customHeight="1" x14ac:dyDescent="0.25">
      <c r="B9" s="3" t="s">
        <v>47</v>
      </c>
      <c r="C9" s="42" t="s">
        <v>48</v>
      </c>
      <c r="D9" s="42" t="s">
        <v>49</v>
      </c>
      <c r="E9" s="42" t="s">
        <v>166</v>
      </c>
      <c r="F9" s="42" t="s">
        <v>167</v>
      </c>
      <c r="H9" s="1"/>
    </row>
    <row r="10" spans="2:9" x14ac:dyDescent="0.25">
      <c r="B10" s="3"/>
      <c r="C10" s="3"/>
      <c r="D10" s="42"/>
      <c r="E10" s="3"/>
      <c r="F10" s="42"/>
      <c r="H10" s="1"/>
    </row>
    <row r="11" spans="2:9" x14ac:dyDescent="0.25">
      <c r="B11" s="3" t="s">
        <v>50</v>
      </c>
      <c r="C11" s="133">
        <v>7795122</v>
      </c>
      <c r="D11" s="231">
        <v>0.04</v>
      </c>
      <c r="E11" s="133">
        <v>37096785</v>
      </c>
      <c r="F11" s="231">
        <v>0.18099999999999999</v>
      </c>
      <c r="H11" s="1"/>
    </row>
    <row r="12" spans="2:9" x14ac:dyDescent="0.25">
      <c r="B12" s="3" t="s">
        <v>51</v>
      </c>
      <c r="C12" s="133">
        <v>14850812</v>
      </c>
      <c r="D12" s="231">
        <v>4.2000000000000003E-2</v>
      </c>
      <c r="E12" s="133">
        <v>70928142</v>
      </c>
      <c r="F12" s="231">
        <v>0.17299999999999999</v>
      </c>
      <c r="H12" s="1"/>
    </row>
    <row r="13" spans="2:9" x14ac:dyDescent="0.25">
      <c r="B13" s="3" t="s">
        <v>52</v>
      </c>
      <c r="C13" s="133">
        <v>-202956</v>
      </c>
      <c r="D13" s="231">
        <v>-3.0000000000000001E-3</v>
      </c>
      <c r="E13" s="133">
        <v>14997839</v>
      </c>
      <c r="F13" s="231">
        <v>0.19400000000000001</v>
      </c>
      <c r="H13" s="1"/>
    </row>
    <row r="14" spans="2:9" x14ac:dyDescent="0.25">
      <c r="B14" s="3" t="s">
        <v>27</v>
      </c>
      <c r="C14" s="133">
        <v>0</v>
      </c>
      <c r="D14" s="231">
        <v>0</v>
      </c>
      <c r="E14" s="133">
        <v>0</v>
      </c>
      <c r="F14" s="43">
        <v>0</v>
      </c>
      <c r="H14" s="1"/>
    </row>
    <row r="15" spans="2:9" ht="30" x14ac:dyDescent="0.25">
      <c r="B15" s="52" t="s">
        <v>53</v>
      </c>
      <c r="C15" s="134">
        <f>SUM(C11:C14)</f>
        <v>22442978</v>
      </c>
      <c r="D15" s="232">
        <f>SUM(D11:D14)</f>
        <v>7.9000000000000001E-2</v>
      </c>
      <c r="E15" s="134">
        <f>SUM(E11:E14)</f>
        <v>123022766</v>
      </c>
      <c r="F15" s="232">
        <v>0.17799999999999999</v>
      </c>
      <c r="H15" s="1"/>
    </row>
    <row r="16" spans="2:9" s="56" customFormat="1" x14ac:dyDescent="0.25">
      <c r="B16" s="113"/>
      <c r="C16" s="57"/>
      <c r="D16" s="57"/>
      <c r="E16" s="57"/>
      <c r="F16" s="57"/>
      <c r="G16" s="57"/>
      <c r="H16" s="57"/>
    </row>
    <row r="17" spans="2:11" s="56" customFormat="1" hidden="1" x14ac:dyDescent="0.25">
      <c r="B17" s="287" t="s">
        <v>189</v>
      </c>
      <c r="C17" s="288"/>
      <c r="D17" s="288"/>
      <c r="E17" s="288"/>
      <c r="F17" s="289"/>
      <c r="G17" s="178"/>
      <c r="H17" s="178"/>
      <c r="I17" s="104"/>
      <c r="J17" s="104"/>
      <c r="K17" s="104"/>
    </row>
    <row r="18" spans="2:11" s="56" customFormat="1" hidden="1" x14ac:dyDescent="0.25">
      <c r="B18" s="290" t="s">
        <v>199</v>
      </c>
      <c r="C18" s="291"/>
      <c r="D18" s="291"/>
      <c r="E18" s="291"/>
      <c r="F18" s="292"/>
      <c r="G18" s="178"/>
      <c r="H18" s="178"/>
      <c r="I18" s="104"/>
      <c r="J18" s="104"/>
      <c r="K18" s="104"/>
    </row>
    <row r="19" spans="2:11" s="56" customFormat="1" hidden="1" x14ac:dyDescent="0.25">
      <c r="B19" s="3" t="s">
        <v>47</v>
      </c>
      <c r="C19" s="42" t="s">
        <v>190</v>
      </c>
      <c r="D19" s="42" t="s">
        <v>191</v>
      </c>
      <c r="E19" s="42" t="s">
        <v>192</v>
      </c>
      <c r="F19" s="42" t="s">
        <v>193</v>
      </c>
      <c r="G19" s="178"/>
      <c r="H19" s="178"/>
      <c r="I19" s="104"/>
      <c r="J19" s="104"/>
      <c r="K19" s="104"/>
    </row>
    <row r="20" spans="2:11" s="56" customFormat="1" hidden="1" x14ac:dyDescent="0.25">
      <c r="B20" s="3"/>
      <c r="C20" s="3"/>
      <c r="D20" s="42"/>
      <c r="E20" s="3"/>
      <c r="F20" s="42"/>
      <c r="G20" s="178"/>
      <c r="H20" s="178"/>
      <c r="I20" s="104"/>
      <c r="J20" s="104"/>
      <c r="K20" s="104"/>
    </row>
    <row r="21" spans="2:11" s="56" customFormat="1" hidden="1" x14ac:dyDescent="0.25">
      <c r="B21" s="3" t="s">
        <v>50</v>
      </c>
      <c r="C21" s="133">
        <v>0</v>
      </c>
      <c r="D21" s="133">
        <v>0</v>
      </c>
      <c r="E21" s="133">
        <v>0</v>
      </c>
      <c r="F21" s="133">
        <v>0</v>
      </c>
      <c r="G21" s="178"/>
      <c r="H21" s="178"/>
      <c r="I21" s="104"/>
      <c r="J21" s="104"/>
      <c r="K21" s="104"/>
    </row>
    <row r="22" spans="2:11" s="56" customFormat="1" hidden="1" x14ac:dyDescent="0.25">
      <c r="B22" s="3" t="s">
        <v>51</v>
      </c>
      <c r="C22" s="133">
        <v>0</v>
      </c>
      <c r="D22" s="133">
        <v>0</v>
      </c>
      <c r="E22" s="133">
        <v>0</v>
      </c>
      <c r="F22" s="133">
        <v>0</v>
      </c>
      <c r="G22" s="178"/>
      <c r="H22" s="178"/>
      <c r="I22" s="104"/>
      <c r="J22" s="104"/>
      <c r="K22" s="104"/>
    </row>
    <row r="23" spans="2:11" s="56" customFormat="1" hidden="1" x14ac:dyDescent="0.25">
      <c r="B23" s="3" t="s">
        <v>52</v>
      </c>
      <c r="C23" s="133">
        <v>0</v>
      </c>
      <c r="D23" s="133">
        <v>0</v>
      </c>
      <c r="E23" s="133">
        <v>0</v>
      </c>
      <c r="F23" s="133">
        <v>0</v>
      </c>
      <c r="G23" s="178"/>
      <c r="H23" s="178"/>
      <c r="I23" s="104"/>
      <c r="J23" s="104"/>
      <c r="K23" s="104"/>
    </row>
    <row r="24" spans="2:11" s="56" customFormat="1" hidden="1" x14ac:dyDescent="0.25">
      <c r="B24" s="3" t="s">
        <v>27</v>
      </c>
      <c r="C24" s="133">
        <v>0</v>
      </c>
      <c r="D24" s="133">
        <v>0</v>
      </c>
      <c r="E24" s="133">
        <v>0</v>
      </c>
      <c r="F24" s="133">
        <v>0</v>
      </c>
      <c r="G24" s="178"/>
      <c r="H24" s="178"/>
      <c r="I24" s="104"/>
      <c r="J24" s="104"/>
      <c r="K24" s="104"/>
    </row>
    <row r="25" spans="2:11" s="56" customFormat="1" ht="30" hidden="1" x14ac:dyDescent="0.25">
      <c r="B25" s="52" t="s">
        <v>53</v>
      </c>
      <c r="C25" s="134">
        <f>SUM(C21:C24)</f>
        <v>0</v>
      </c>
      <c r="D25" s="134">
        <v>0</v>
      </c>
      <c r="E25" s="134">
        <f>SUM(E21:E24)</f>
        <v>0</v>
      </c>
      <c r="F25" s="134">
        <v>0</v>
      </c>
      <c r="G25" s="178"/>
      <c r="H25" s="178"/>
      <c r="I25" s="104"/>
      <c r="J25" s="104"/>
      <c r="K25" s="104"/>
    </row>
    <row r="26" spans="2:11" s="56" customFormat="1" hidden="1" x14ac:dyDescent="0.25">
      <c r="B26" s="113"/>
      <c r="C26" s="57"/>
      <c r="D26" s="57"/>
      <c r="E26" s="57"/>
      <c r="F26" s="57"/>
      <c r="G26" s="178"/>
      <c r="H26" s="178"/>
      <c r="I26" s="104"/>
      <c r="J26" s="104"/>
      <c r="K26" s="104"/>
    </row>
    <row r="27" spans="2:11" s="56" customFormat="1" hidden="1" x14ac:dyDescent="0.25">
      <c r="B27" s="287" t="s">
        <v>194</v>
      </c>
      <c r="C27" s="288"/>
      <c r="D27" s="288"/>
      <c r="E27" s="288"/>
      <c r="F27" s="289"/>
      <c r="G27" s="178"/>
      <c r="H27" s="178"/>
      <c r="I27" s="104"/>
      <c r="J27" s="104"/>
      <c r="K27" s="104"/>
    </row>
    <row r="28" spans="2:11" s="56" customFormat="1" hidden="1" x14ac:dyDescent="0.25">
      <c r="B28" s="290" t="s">
        <v>200</v>
      </c>
      <c r="C28" s="291"/>
      <c r="D28" s="291"/>
      <c r="E28" s="291"/>
      <c r="F28" s="292"/>
      <c r="G28" s="178"/>
      <c r="H28" s="178"/>
      <c r="I28" s="104"/>
      <c r="J28" s="104"/>
      <c r="K28" s="104"/>
    </row>
    <row r="29" spans="2:11" s="56" customFormat="1" hidden="1" x14ac:dyDescent="0.25">
      <c r="B29" s="3" t="s">
        <v>47</v>
      </c>
      <c r="C29" s="42" t="s">
        <v>195</v>
      </c>
      <c r="D29" s="42" t="s">
        <v>196</v>
      </c>
      <c r="E29" s="42" t="s">
        <v>197</v>
      </c>
      <c r="F29" s="42" t="s">
        <v>198</v>
      </c>
      <c r="G29" s="178"/>
      <c r="H29" s="178"/>
      <c r="I29" s="104"/>
      <c r="J29" s="104"/>
      <c r="K29" s="104"/>
    </row>
    <row r="30" spans="2:11" s="56" customFormat="1" hidden="1" x14ac:dyDescent="0.25">
      <c r="B30" s="3"/>
      <c r="C30" s="3"/>
      <c r="D30" s="42"/>
      <c r="E30" s="3"/>
      <c r="F30" s="42"/>
      <c r="G30" s="178"/>
      <c r="H30" s="178"/>
      <c r="I30" s="104"/>
      <c r="J30" s="104"/>
      <c r="K30" s="104"/>
    </row>
    <row r="31" spans="2:11" s="56" customFormat="1" hidden="1" x14ac:dyDescent="0.25">
      <c r="B31" s="3" t="s">
        <v>50</v>
      </c>
      <c r="C31" s="133">
        <v>0</v>
      </c>
      <c r="D31" s="133">
        <v>0</v>
      </c>
      <c r="E31" s="133">
        <v>0</v>
      </c>
      <c r="F31" s="133">
        <v>0</v>
      </c>
      <c r="G31" s="178"/>
      <c r="H31" s="178"/>
      <c r="I31" s="104"/>
      <c r="J31" s="104"/>
      <c r="K31" s="104"/>
    </row>
    <row r="32" spans="2:11" s="56" customFormat="1" hidden="1" x14ac:dyDescent="0.25">
      <c r="B32" s="3" t="s">
        <v>51</v>
      </c>
      <c r="C32" s="133">
        <v>0</v>
      </c>
      <c r="D32" s="133">
        <v>0</v>
      </c>
      <c r="E32" s="133">
        <v>0</v>
      </c>
      <c r="F32" s="133">
        <v>0</v>
      </c>
      <c r="G32" s="178"/>
      <c r="H32" s="178"/>
      <c r="I32" s="104"/>
      <c r="J32" s="104"/>
      <c r="K32" s="104"/>
    </row>
    <row r="33" spans="2:11" s="56" customFormat="1" hidden="1" x14ac:dyDescent="0.25">
      <c r="B33" s="3" t="s">
        <v>52</v>
      </c>
      <c r="C33" s="133">
        <v>0</v>
      </c>
      <c r="D33" s="133">
        <v>0</v>
      </c>
      <c r="E33" s="133">
        <v>0</v>
      </c>
      <c r="F33" s="133">
        <v>0</v>
      </c>
      <c r="G33" s="178"/>
      <c r="H33" s="178"/>
      <c r="I33" s="104"/>
      <c r="J33" s="104"/>
      <c r="K33" s="104"/>
    </row>
    <row r="34" spans="2:11" s="56" customFormat="1" hidden="1" x14ac:dyDescent="0.25">
      <c r="B34" s="3" t="s">
        <v>27</v>
      </c>
      <c r="C34" s="133">
        <v>0</v>
      </c>
      <c r="D34" s="133">
        <v>0</v>
      </c>
      <c r="E34" s="133">
        <v>0</v>
      </c>
      <c r="F34" s="133">
        <v>0</v>
      </c>
      <c r="G34" s="178"/>
      <c r="H34" s="178"/>
      <c r="I34" s="104"/>
      <c r="J34" s="104"/>
      <c r="K34" s="104"/>
    </row>
    <row r="35" spans="2:11" s="56" customFormat="1" ht="30" hidden="1" x14ac:dyDescent="0.25">
      <c r="B35" s="52" t="s">
        <v>53</v>
      </c>
      <c r="C35" s="134">
        <f>SUM(C31:C34)</f>
        <v>0</v>
      </c>
      <c r="D35" s="134">
        <v>0</v>
      </c>
      <c r="E35" s="134">
        <f>SUM(E31:E34)</f>
        <v>0</v>
      </c>
      <c r="F35" s="134">
        <v>0</v>
      </c>
      <c r="G35" s="178"/>
      <c r="H35" s="178"/>
      <c r="I35" s="104"/>
      <c r="J35" s="104"/>
      <c r="K35" s="104"/>
    </row>
    <row r="36" spans="2:11" s="56" customFormat="1" x14ac:dyDescent="0.25">
      <c r="B36" s="113"/>
      <c r="C36" s="57"/>
      <c r="D36" s="57"/>
      <c r="E36" s="57"/>
      <c r="F36" s="57"/>
      <c r="G36" s="57"/>
      <c r="H36" s="57"/>
    </row>
    <row r="37" spans="2:11" ht="45" customHeight="1" x14ac:dyDescent="0.25">
      <c r="B37" s="275" t="s">
        <v>54</v>
      </c>
      <c r="C37" s="276"/>
      <c r="D37" s="276"/>
      <c r="E37" s="276"/>
      <c r="F37" s="276"/>
      <c r="G37" s="276"/>
      <c r="H37" s="276"/>
      <c r="I37" s="276"/>
      <c r="J37" s="277"/>
    </row>
    <row r="38" spans="2:11" x14ac:dyDescent="0.25">
      <c r="B38" s="264" t="s">
        <v>55</v>
      </c>
      <c r="C38" s="265"/>
      <c r="D38" s="265"/>
      <c r="E38" s="265"/>
      <c r="F38" s="265"/>
      <c r="G38" s="265"/>
      <c r="H38" s="265"/>
      <c r="I38" s="265"/>
      <c r="J38" s="266"/>
    </row>
    <row r="39" spans="2:11" ht="42.75" customHeight="1" x14ac:dyDescent="0.25">
      <c r="B39" s="3" t="s">
        <v>47</v>
      </c>
      <c r="C39" s="42" t="s">
        <v>168</v>
      </c>
      <c r="D39" s="42" t="s">
        <v>56</v>
      </c>
      <c r="E39" s="42" t="s">
        <v>169</v>
      </c>
      <c r="F39" s="273" t="s">
        <v>57</v>
      </c>
      <c r="G39" s="274"/>
      <c r="H39" s="114" t="s">
        <v>58</v>
      </c>
      <c r="I39" s="114" t="s">
        <v>59</v>
      </c>
      <c r="J39" s="114" t="s">
        <v>60</v>
      </c>
    </row>
    <row r="40" spans="2:11" x14ac:dyDescent="0.25">
      <c r="B40" s="3"/>
      <c r="C40" s="42"/>
      <c r="D40" s="115"/>
      <c r="E40" s="42"/>
      <c r="F40" s="42" t="s">
        <v>61</v>
      </c>
      <c r="G40" s="42" t="s">
        <v>62</v>
      </c>
      <c r="H40" s="42"/>
      <c r="I40" s="42"/>
      <c r="J40" s="42"/>
    </row>
    <row r="41" spans="2:11" x14ac:dyDescent="0.25">
      <c r="B41" s="3" t="s">
        <v>50</v>
      </c>
      <c r="C41" s="116">
        <v>201155321</v>
      </c>
      <c r="D41" s="117">
        <f>(E41/C41)-1</f>
        <v>0.20469816455911705</v>
      </c>
      <c r="E41" s="76">
        <v>242331446</v>
      </c>
      <c r="F41" s="76">
        <v>14299854</v>
      </c>
      <c r="G41" s="76">
        <v>0</v>
      </c>
      <c r="H41" s="76">
        <v>269786</v>
      </c>
      <c r="I41" s="76">
        <v>15138904</v>
      </c>
      <c r="J41" s="76">
        <v>11467580</v>
      </c>
    </row>
    <row r="42" spans="2:11" x14ac:dyDescent="0.25">
      <c r="B42" s="3" t="s">
        <v>51</v>
      </c>
      <c r="C42" s="116">
        <v>364925784</v>
      </c>
      <c r="D42" s="117">
        <f t="shared" ref="D42:D43" si="0">(E42/C42)-1</f>
        <v>0.31776860140964991</v>
      </c>
      <c r="E42" s="76">
        <v>480887740</v>
      </c>
      <c r="F42" s="76">
        <v>43749906</v>
      </c>
      <c r="G42" s="76">
        <v>0</v>
      </c>
      <c r="H42" s="76">
        <v>2691768</v>
      </c>
      <c r="I42" s="76">
        <v>25035787</v>
      </c>
      <c r="J42" s="76">
        <v>44484495</v>
      </c>
      <c r="K42" s="109"/>
    </row>
    <row r="43" spans="2:11" x14ac:dyDescent="0.25">
      <c r="B43" s="3" t="s">
        <v>52</v>
      </c>
      <c r="C43" s="116">
        <v>73757528</v>
      </c>
      <c r="D43" s="117">
        <f t="shared" si="0"/>
        <v>0.25022485840360598</v>
      </c>
      <c r="E43" s="76">
        <v>92213495</v>
      </c>
      <c r="F43" s="76">
        <v>7241320</v>
      </c>
      <c r="G43" s="76">
        <v>0</v>
      </c>
      <c r="H43" s="76">
        <v>268969</v>
      </c>
      <c r="I43" s="76">
        <v>4918005</v>
      </c>
      <c r="J43" s="76">
        <v>6027674</v>
      </c>
    </row>
    <row r="44" spans="2:11" x14ac:dyDescent="0.25">
      <c r="B44" s="3" t="s">
        <v>27</v>
      </c>
      <c r="C44" s="116">
        <v>0</v>
      </c>
      <c r="D44" s="117"/>
      <c r="E44" s="76">
        <f t="shared" ref="E44" si="1">SUM(F44:J44)</f>
        <v>0</v>
      </c>
      <c r="F44" s="76"/>
      <c r="G44" s="76"/>
      <c r="H44" s="76"/>
      <c r="I44" s="76"/>
      <c r="J44" s="76"/>
    </row>
    <row r="45" spans="2:11" ht="30" x14ac:dyDescent="0.25">
      <c r="B45" s="52" t="s">
        <v>63</v>
      </c>
      <c r="C45" s="118">
        <f>SUM(C41:C44)</f>
        <v>639838633</v>
      </c>
      <c r="D45" s="119">
        <v>0</v>
      </c>
      <c r="E45" s="118">
        <f t="shared" ref="E45:J45" si="2">SUM(E41:E44)</f>
        <v>815432681</v>
      </c>
      <c r="F45" s="77">
        <f t="shared" si="2"/>
        <v>65291080</v>
      </c>
      <c r="G45" s="77">
        <f t="shared" si="2"/>
        <v>0</v>
      </c>
      <c r="H45" s="77">
        <f t="shared" si="2"/>
        <v>3230523</v>
      </c>
      <c r="I45" s="77">
        <f t="shared" si="2"/>
        <v>45092696</v>
      </c>
      <c r="J45" s="77">
        <f t="shared" si="2"/>
        <v>61979749</v>
      </c>
    </row>
    <row r="46" spans="2:11" s="56" customFormat="1" x14ac:dyDescent="0.25">
      <c r="B46" s="113"/>
      <c r="C46" s="57" t="s">
        <v>64</v>
      </c>
      <c r="D46" s="57"/>
      <c r="E46" s="57" t="s">
        <v>64</v>
      </c>
      <c r="F46" s="57"/>
      <c r="G46" s="57"/>
      <c r="H46" s="57"/>
    </row>
    <row r="47" spans="2:11" s="56" customFormat="1" x14ac:dyDescent="0.25">
      <c r="B47" s="113"/>
      <c r="C47" s="57"/>
      <c r="D47" s="57"/>
      <c r="E47" s="57"/>
      <c r="F47" s="57"/>
      <c r="G47" s="57"/>
      <c r="H47" s="57"/>
    </row>
    <row r="48" spans="2:11" s="56" customFormat="1" ht="23.45" customHeight="1" x14ac:dyDescent="0.25">
      <c r="B48" s="275" t="s">
        <v>181</v>
      </c>
      <c r="C48" s="276"/>
      <c r="D48" s="276"/>
      <c r="E48" s="276"/>
      <c r="F48" s="276"/>
      <c r="G48" s="276"/>
      <c r="H48" s="276"/>
      <c r="I48" s="276"/>
      <c r="J48" s="277"/>
    </row>
    <row r="49" spans="2:10" x14ac:dyDescent="0.25">
      <c r="B49" s="264" t="s">
        <v>65</v>
      </c>
      <c r="C49" s="265"/>
      <c r="D49" s="265"/>
      <c r="E49" s="265"/>
      <c r="F49" s="265"/>
      <c r="G49" s="265"/>
      <c r="H49" s="265"/>
      <c r="I49" s="265"/>
      <c r="J49" s="266"/>
    </row>
    <row r="50" spans="2:10" ht="42.75" customHeight="1" x14ac:dyDescent="0.25">
      <c r="B50" s="3" t="s">
        <v>66</v>
      </c>
      <c r="C50" s="3" t="s">
        <v>68</v>
      </c>
      <c r="D50" s="42" t="s">
        <v>67</v>
      </c>
      <c r="E50" s="42" t="s">
        <v>170</v>
      </c>
      <c r="F50" s="278" t="s">
        <v>69</v>
      </c>
      <c r="G50" s="279"/>
      <c r="H50" s="42" t="s">
        <v>70</v>
      </c>
      <c r="I50" s="42" t="s">
        <v>71</v>
      </c>
      <c r="J50" s="42" t="s">
        <v>72</v>
      </c>
    </row>
    <row r="51" spans="2:10" ht="15.75" customHeight="1" x14ac:dyDescent="0.25">
      <c r="B51" s="3"/>
      <c r="C51" s="3"/>
      <c r="D51" s="3"/>
      <c r="E51" s="42"/>
      <c r="F51" s="42" t="s">
        <v>61</v>
      </c>
      <c r="G51" s="42" t="s">
        <v>62</v>
      </c>
      <c r="H51" s="42"/>
      <c r="I51" s="42"/>
      <c r="J51" s="42"/>
    </row>
    <row r="52" spans="2:10" x14ac:dyDescent="0.25">
      <c r="B52" s="3" t="s">
        <v>50</v>
      </c>
      <c r="C52" s="116">
        <v>0</v>
      </c>
      <c r="D52" s="116">
        <v>0</v>
      </c>
      <c r="E52" s="120">
        <v>0</v>
      </c>
      <c r="F52" s="120">
        <v>0</v>
      </c>
      <c r="G52" s="120">
        <v>0</v>
      </c>
      <c r="H52" s="120">
        <v>0</v>
      </c>
      <c r="I52" s="120">
        <v>0</v>
      </c>
      <c r="J52" s="120">
        <v>0</v>
      </c>
    </row>
    <row r="53" spans="2:10" x14ac:dyDescent="0.25">
      <c r="B53" s="3" t="s">
        <v>51</v>
      </c>
      <c r="C53" s="116">
        <v>0</v>
      </c>
      <c r="D53" s="116">
        <v>0</v>
      </c>
      <c r="E53" s="120">
        <v>0</v>
      </c>
      <c r="F53" s="120">
        <v>0</v>
      </c>
      <c r="G53" s="120">
        <v>0</v>
      </c>
      <c r="H53" s="120">
        <v>0</v>
      </c>
      <c r="I53" s="120">
        <v>0</v>
      </c>
      <c r="J53" s="120">
        <v>0</v>
      </c>
    </row>
    <row r="54" spans="2:10" x14ac:dyDescent="0.25">
      <c r="B54" s="3" t="s">
        <v>52</v>
      </c>
      <c r="C54" s="116">
        <v>0</v>
      </c>
      <c r="D54" s="116">
        <v>0</v>
      </c>
      <c r="E54" s="120">
        <v>0</v>
      </c>
      <c r="F54" s="120">
        <v>0</v>
      </c>
      <c r="G54" s="120">
        <v>0</v>
      </c>
      <c r="H54" s="120">
        <v>0</v>
      </c>
      <c r="I54" s="120">
        <v>0</v>
      </c>
      <c r="J54" s="120">
        <v>0</v>
      </c>
    </row>
    <row r="55" spans="2:10" x14ac:dyDescent="0.25">
      <c r="B55" s="3" t="s">
        <v>236</v>
      </c>
      <c r="C55" s="116">
        <v>270361371</v>
      </c>
      <c r="D55" s="116">
        <f>E55-C55</f>
        <v>43608966</v>
      </c>
      <c r="E55" s="120">
        <v>313970337</v>
      </c>
      <c r="F55" s="120">
        <v>44053369</v>
      </c>
      <c r="G55" s="120">
        <v>0</v>
      </c>
      <c r="H55" s="120">
        <v>-891584</v>
      </c>
      <c r="I55" s="120">
        <v>5257130</v>
      </c>
      <c r="J55" s="120">
        <v>-4809948</v>
      </c>
    </row>
    <row r="56" spans="2:10" x14ac:dyDescent="0.25">
      <c r="B56" s="3"/>
      <c r="C56" s="3"/>
      <c r="D56" s="3"/>
      <c r="E56" s="120"/>
      <c r="F56" s="120"/>
      <c r="G56" s="120"/>
      <c r="H56" s="120"/>
      <c r="I56" s="120"/>
      <c r="J56" s="120"/>
    </row>
    <row r="57" spans="2:10" x14ac:dyDescent="0.25">
      <c r="B57" s="3"/>
      <c r="C57" s="3"/>
      <c r="D57" s="3"/>
      <c r="E57" s="120"/>
      <c r="F57" s="120"/>
      <c r="G57" s="120"/>
      <c r="H57" s="120"/>
      <c r="I57" s="120"/>
      <c r="J57" s="120"/>
    </row>
    <row r="58" spans="2:10" x14ac:dyDescent="0.25">
      <c r="B58" s="3"/>
      <c r="C58" s="3"/>
      <c r="D58" s="3"/>
      <c r="E58" s="120"/>
      <c r="F58" s="120"/>
      <c r="G58" s="120"/>
      <c r="H58" s="120"/>
      <c r="I58" s="120"/>
      <c r="J58" s="120"/>
    </row>
    <row r="59" spans="2:10" x14ac:dyDescent="0.25">
      <c r="B59" s="52" t="s">
        <v>73</v>
      </c>
      <c r="C59" s="121">
        <f>SUM(C52:C58)</f>
        <v>270361371</v>
      </c>
      <c r="D59" s="121">
        <f>SUM(D52:D58)</f>
        <v>43608966</v>
      </c>
      <c r="E59" s="121">
        <f t="shared" ref="E59:J59" si="3">SUM(E52:E58)</f>
        <v>313970337</v>
      </c>
      <c r="F59" s="121">
        <f t="shared" si="3"/>
        <v>44053369</v>
      </c>
      <c r="G59" s="121">
        <f t="shared" si="3"/>
        <v>0</v>
      </c>
      <c r="H59" s="121">
        <f t="shared" si="3"/>
        <v>-891584</v>
      </c>
      <c r="I59" s="121">
        <f t="shared" si="3"/>
        <v>5257130</v>
      </c>
      <c r="J59" s="121">
        <f t="shared" si="3"/>
        <v>-4809948</v>
      </c>
    </row>
    <row r="60" spans="2:10" s="56" customFormat="1" x14ac:dyDescent="0.25">
      <c r="C60" s="57"/>
      <c r="D60" s="57"/>
      <c r="E60" s="57"/>
      <c r="F60" s="122"/>
      <c r="G60" s="122"/>
      <c r="H60" s="122"/>
    </row>
    <row r="61" spans="2:10" s="56" customFormat="1" x14ac:dyDescent="0.25">
      <c r="C61" s="57"/>
      <c r="D61" s="57"/>
      <c r="E61" s="57"/>
      <c r="F61" s="122"/>
      <c r="G61" s="122"/>
      <c r="H61" s="122"/>
    </row>
    <row r="62" spans="2:10" s="56" customFormat="1" x14ac:dyDescent="0.25">
      <c r="B62" s="264" t="s">
        <v>74</v>
      </c>
      <c r="C62" s="265"/>
      <c r="D62" s="265"/>
      <c r="E62" s="265"/>
      <c r="F62" s="265"/>
      <c r="G62" s="265"/>
      <c r="H62" s="266"/>
    </row>
    <row r="63" spans="2:10" s="56" customFormat="1" ht="42.6" customHeight="1" x14ac:dyDescent="0.25">
      <c r="B63" s="3" t="s">
        <v>66</v>
      </c>
      <c r="C63" s="3" t="s">
        <v>171</v>
      </c>
      <c r="D63" s="42" t="s">
        <v>67</v>
      </c>
      <c r="E63" s="42" t="s">
        <v>172</v>
      </c>
      <c r="F63" s="167" t="s">
        <v>75</v>
      </c>
      <c r="G63" s="42" t="s">
        <v>76</v>
      </c>
      <c r="H63" s="42" t="s">
        <v>77</v>
      </c>
    </row>
    <row r="64" spans="2:10" s="56" customFormat="1" x14ac:dyDescent="0.25">
      <c r="B64" s="3" t="s">
        <v>50</v>
      </c>
      <c r="C64" s="116">
        <v>0</v>
      </c>
      <c r="D64" s="116">
        <v>0</v>
      </c>
      <c r="E64" s="120">
        <f>SUM(F64:H64)</f>
        <v>0</v>
      </c>
      <c r="F64" s="120">
        <v>0</v>
      </c>
      <c r="G64" s="120">
        <v>0</v>
      </c>
      <c r="H64" s="120">
        <v>0</v>
      </c>
    </row>
    <row r="65" spans="2:10" s="56" customFormat="1" x14ac:dyDescent="0.25">
      <c r="B65" s="3" t="s">
        <v>51</v>
      </c>
      <c r="C65" s="116">
        <v>0</v>
      </c>
      <c r="D65" s="116">
        <v>0</v>
      </c>
      <c r="E65" s="120">
        <f t="shared" ref="E65" si="4">SUM(F65:H65)</f>
        <v>0</v>
      </c>
      <c r="F65" s="120">
        <v>0</v>
      </c>
      <c r="G65" s="120">
        <v>0</v>
      </c>
      <c r="H65" s="120">
        <v>0</v>
      </c>
    </row>
    <row r="66" spans="2:10" s="56" customFormat="1" x14ac:dyDescent="0.25">
      <c r="B66" s="3" t="s">
        <v>52</v>
      </c>
      <c r="C66" s="116">
        <v>49699545</v>
      </c>
      <c r="D66" s="116">
        <f>E66-C66</f>
        <v>10693455</v>
      </c>
      <c r="E66" s="120">
        <v>60393000</v>
      </c>
      <c r="F66" s="120">
        <v>0</v>
      </c>
      <c r="G66" s="120">
        <v>-106545</v>
      </c>
      <c r="H66" s="120">
        <v>10800000</v>
      </c>
      <c r="I66" s="56" t="s">
        <v>237</v>
      </c>
    </row>
    <row r="67" spans="2:10" s="56" customFormat="1" x14ac:dyDescent="0.25">
      <c r="B67" s="3" t="s">
        <v>78</v>
      </c>
      <c r="C67" s="116">
        <v>-49975869</v>
      </c>
      <c r="D67" s="116">
        <f t="shared" ref="D67:D68" si="5">E67-C67</f>
        <v>-10980941</v>
      </c>
      <c r="E67" s="120">
        <v>-60956810</v>
      </c>
      <c r="F67" s="120">
        <v>0</v>
      </c>
      <c r="G67" s="120">
        <v>-180941</v>
      </c>
      <c r="H67" s="120">
        <v>-10800000</v>
      </c>
      <c r="I67" s="56" t="s">
        <v>238</v>
      </c>
    </row>
    <row r="68" spans="2:10" s="56" customFormat="1" x14ac:dyDescent="0.25">
      <c r="B68" s="3" t="s">
        <v>79</v>
      </c>
      <c r="C68" s="116">
        <v>-937484</v>
      </c>
      <c r="D68" s="116">
        <f t="shared" si="5"/>
        <v>146298</v>
      </c>
      <c r="E68" s="120">
        <v>-791186</v>
      </c>
      <c r="F68" s="120">
        <v>0</v>
      </c>
      <c r="G68" s="120">
        <v>146298</v>
      </c>
      <c r="H68" s="120">
        <v>0</v>
      </c>
    </row>
    <row r="69" spans="2:10" s="56" customFormat="1" x14ac:dyDescent="0.25">
      <c r="B69" s="52" t="s">
        <v>80</v>
      </c>
      <c r="C69" s="121">
        <f>SUM(C64:C68)</f>
        <v>-1213808</v>
      </c>
      <c r="D69" s="121">
        <f>SUM(D64:D68)</f>
        <v>-141188</v>
      </c>
      <c r="E69" s="121">
        <f>SUM(E64:E68)</f>
        <v>-1354996</v>
      </c>
      <c r="F69" s="121">
        <f t="shared" ref="F69:H69" si="6">SUM(F64:F68)</f>
        <v>0</v>
      </c>
      <c r="G69" s="121">
        <f t="shared" si="6"/>
        <v>-141188</v>
      </c>
      <c r="H69" s="121">
        <f t="shared" si="6"/>
        <v>0</v>
      </c>
    </row>
    <row r="70" spans="2:10" s="56" customFormat="1" x14ac:dyDescent="0.25">
      <c r="C70" s="57"/>
      <c r="D70" s="57"/>
      <c r="E70" s="57"/>
      <c r="F70" s="56" t="s">
        <v>81</v>
      </c>
      <c r="G70" s="122"/>
      <c r="H70" s="122"/>
    </row>
    <row r="71" spans="2:10" s="56" customFormat="1" ht="15.75" thickBot="1" x14ac:dyDescent="0.3">
      <c r="B71" s="111"/>
      <c r="C71" s="122"/>
      <c r="D71" s="122"/>
      <c r="E71" s="122"/>
      <c r="F71" s="122"/>
      <c r="G71" s="122"/>
      <c r="H71" s="122"/>
    </row>
    <row r="72" spans="2:10" s="56" customFormat="1" ht="30" x14ac:dyDescent="0.25">
      <c r="B72" s="123"/>
      <c r="C72" s="124" t="s">
        <v>217</v>
      </c>
      <c r="D72" s="124" t="s">
        <v>67</v>
      </c>
      <c r="E72" s="124" t="s">
        <v>56</v>
      </c>
      <c r="F72" s="125" t="s">
        <v>173</v>
      </c>
      <c r="G72" s="122"/>
      <c r="H72" s="122"/>
      <c r="I72" s="122"/>
    </row>
    <row r="73" spans="2:10" s="56" customFormat="1" x14ac:dyDescent="0.25">
      <c r="B73" s="136" t="s">
        <v>82</v>
      </c>
      <c r="C73" s="135">
        <f>C59+C69</f>
        <v>269147563</v>
      </c>
      <c r="D73" s="135">
        <f>D59+D69</f>
        <v>43467778</v>
      </c>
      <c r="E73" s="135">
        <f>D73/C73</f>
        <v>0.16150165922178533</v>
      </c>
      <c r="F73" s="137">
        <f>E59+E69</f>
        <v>312615341</v>
      </c>
      <c r="G73" s="122"/>
      <c r="H73" s="122"/>
      <c r="I73" s="122"/>
    </row>
    <row r="74" spans="2:10" s="56" customFormat="1" x14ac:dyDescent="0.25">
      <c r="B74" s="136" t="s">
        <v>83</v>
      </c>
      <c r="C74" s="138">
        <f>'1. Reconciliation'!C11</f>
        <v>270361371</v>
      </c>
      <c r="D74" s="138">
        <f>'1. Reconciliation'!C25</f>
        <v>43608966.49000001</v>
      </c>
      <c r="E74" s="139">
        <f>'1. Reconciliation'!C26</f>
        <v>0.16129880658875639</v>
      </c>
      <c r="F74" s="140">
        <f>'1. Reconciliation'!C23</f>
        <v>313970337.49000001</v>
      </c>
      <c r="G74" s="122"/>
      <c r="H74" s="122"/>
      <c r="I74" s="122"/>
    </row>
    <row r="75" spans="2:10" s="56" customFormat="1" ht="18" customHeight="1" thickBot="1" x14ac:dyDescent="0.3">
      <c r="B75" s="141" t="s">
        <v>84</v>
      </c>
      <c r="C75" s="142">
        <f>C73-C74</f>
        <v>-1213808</v>
      </c>
      <c r="D75" s="142">
        <f t="shared" ref="D75:F75" si="7">D73-D74</f>
        <v>-141188.49000000954</v>
      </c>
      <c r="E75" s="142">
        <f t="shared" si="7"/>
        <v>2.0285263302893819E-4</v>
      </c>
      <c r="F75" s="143">
        <f t="shared" si="7"/>
        <v>-1354996.4900000095</v>
      </c>
      <c r="G75" s="122"/>
      <c r="H75" s="122"/>
      <c r="I75" s="122"/>
    </row>
    <row r="76" spans="2:10" s="56" customFormat="1" x14ac:dyDescent="0.25">
      <c r="G76" s="122"/>
      <c r="H76" s="122"/>
      <c r="I76" s="122"/>
      <c r="J76" s="1"/>
    </row>
    <row r="77" spans="2:10" x14ac:dyDescent="0.25">
      <c r="B77" s="126"/>
      <c r="C77" s="127"/>
      <c r="D77" s="128"/>
      <c r="E77" s="129"/>
      <c r="F77" s="129"/>
      <c r="G77" s="129"/>
      <c r="H77" s="130"/>
    </row>
    <row r="78" spans="2:10" x14ac:dyDescent="0.25">
      <c r="B78" s="267" t="s">
        <v>188</v>
      </c>
      <c r="C78" s="268"/>
      <c r="D78" s="268"/>
      <c r="E78" s="268"/>
      <c r="F78" s="268"/>
      <c r="G78" s="269"/>
      <c r="H78" s="130"/>
    </row>
    <row r="79" spans="2:10" x14ac:dyDescent="0.25">
      <c r="B79" s="264" t="s">
        <v>85</v>
      </c>
      <c r="C79" s="265"/>
      <c r="D79" s="265"/>
      <c r="E79" s="265"/>
      <c r="F79" s="265"/>
      <c r="G79" s="266"/>
      <c r="H79" s="131"/>
    </row>
    <row r="80" spans="2:10" x14ac:dyDescent="0.25">
      <c r="B80" s="270" t="s">
        <v>185</v>
      </c>
      <c r="C80" s="271"/>
      <c r="D80" s="271"/>
      <c r="E80" s="271"/>
      <c r="F80" s="272"/>
      <c r="G80" s="175" t="s">
        <v>186</v>
      </c>
    </row>
    <row r="81" spans="2:7" x14ac:dyDescent="0.25">
      <c r="B81" s="258" t="s">
        <v>138</v>
      </c>
      <c r="C81" s="259"/>
      <c r="D81" s="259"/>
      <c r="E81" s="259"/>
      <c r="F81" s="260"/>
      <c r="G81" s="176">
        <v>1276149</v>
      </c>
    </row>
    <row r="82" spans="2:7" x14ac:dyDescent="0.25">
      <c r="B82" s="258" t="s">
        <v>114</v>
      </c>
      <c r="C82" s="259"/>
      <c r="D82" s="259"/>
      <c r="E82" s="259"/>
      <c r="F82" s="260"/>
      <c r="G82" s="176">
        <v>0</v>
      </c>
    </row>
    <row r="83" spans="2:7" x14ac:dyDescent="0.25">
      <c r="B83" s="258" t="s">
        <v>113</v>
      </c>
      <c r="C83" s="259"/>
      <c r="D83" s="259"/>
      <c r="E83" s="259"/>
      <c r="F83" s="260"/>
      <c r="G83" s="176">
        <v>0</v>
      </c>
    </row>
    <row r="84" spans="2:7" ht="15.75" thickBot="1" x14ac:dyDescent="0.3">
      <c r="B84" s="261" t="s">
        <v>187</v>
      </c>
      <c r="C84" s="262"/>
      <c r="D84" s="262"/>
      <c r="E84" s="262"/>
      <c r="F84" s="263"/>
      <c r="G84" s="177">
        <f>SUM(G81:G83)</f>
        <v>1276149</v>
      </c>
    </row>
    <row r="85" spans="2:7" ht="15.75" thickTop="1" x14ac:dyDescent="0.25"/>
    <row r="87" spans="2:7" x14ac:dyDescent="0.25">
      <c r="C87" s="20"/>
    </row>
  </sheetData>
  <mergeCells count="24">
    <mergeCell ref="B5:G5"/>
    <mergeCell ref="B2:I2"/>
    <mergeCell ref="B3:I3"/>
    <mergeCell ref="B4:I4"/>
    <mergeCell ref="B37:J37"/>
    <mergeCell ref="B17:F17"/>
    <mergeCell ref="B18:F18"/>
    <mergeCell ref="B27:F27"/>
    <mergeCell ref="B28:F28"/>
    <mergeCell ref="B7:F7"/>
    <mergeCell ref="B8:F8"/>
    <mergeCell ref="F39:G39"/>
    <mergeCell ref="B48:J48"/>
    <mergeCell ref="B38:J38"/>
    <mergeCell ref="B49:J49"/>
    <mergeCell ref="F50:G50"/>
    <mergeCell ref="B82:F82"/>
    <mergeCell ref="B83:F83"/>
    <mergeCell ref="B84:F84"/>
    <mergeCell ref="B62:H62"/>
    <mergeCell ref="B78:G78"/>
    <mergeCell ref="B79:G79"/>
    <mergeCell ref="B80:F80"/>
    <mergeCell ref="B81:F81"/>
  </mergeCells>
  <pageMargins left="0.7" right="0.7" top="0.75" bottom="0.75" header="0.3" footer="0.3"/>
  <pageSetup scale="66" orientation="landscape" r:id="rId1"/>
  <headerFooter>
    <oddFooter>&amp;L&amp;D&amp;R&amp;F,&amp;A,</oddFooter>
  </headerFooter>
  <ignoredErrors>
    <ignoredError sqref="E73:E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F19"/>
  <sheetViews>
    <sheetView showGridLines="0" zoomScale="90" zoomScaleNormal="90" workbookViewId="0">
      <selection activeCell="F12" sqref="F12"/>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5" width="10.85546875" style="1" customWidth="1"/>
    <col min="6" max="6" width="13.140625" style="1" bestFit="1" customWidth="1"/>
    <col min="7" max="16384" width="8.85546875" style="1"/>
  </cols>
  <sheetData>
    <row r="1" spans="2:6" x14ac:dyDescent="0.25">
      <c r="B1" s="293" t="s">
        <v>86</v>
      </c>
      <c r="C1" s="293"/>
      <c r="D1" s="293"/>
    </row>
    <row r="2" spans="2:6" ht="21" x14ac:dyDescent="0.35">
      <c r="B2" s="294" t="s">
        <v>5</v>
      </c>
      <c r="C2" s="295"/>
      <c r="D2" s="296"/>
    </row>
    <row r="3" spans="2:6" ht="18.75" x14ac:dyDescent="0.3">
      <c r="B3" s="298" t="s">
        <v>87</v>
      </c>
      <c r="C3" s="299"/>
      <c r="D3" s="300"/>
    </row>
    <row r="4" spans="2:6" ht="74.25" customHeight="1" x14ac:dyDescent="0.25">
      <c r="B4" s="297" t="s">
        <v>215</v>
      </c>
      <c r="C4" s="297"/>
      <c r="D4" s="297"/>
    </row>
    <row r="5" spans="2:6" x14ac:dyDescent="0.25">
      <c r="B5" s="21"/>
      <c r="C5" s="2"/>
      <c r="D5" s="2"/>
    </row>
    <row r="6" spans="2:6" x14ac:dyDescent="0.25">
      <c r="B6" s="302" t="s">
        <v>88</v>
      </c>
      <c r="C6" s="301" t="s">
        <v>89</v>
      </c>
      <c r="D6" s="301" t="s">
        <v>90</v>
      </c>
    </row>
    <row r="7" spans="2:6" x14ac:dyDescent="0.25">
      <c r="B7" s="302"/>
      <c r="C7" s="301"/>
      <c r="D7" s="301"/>
    </row>
    <row r="8" spans="2:6" x14ac:dyDescent="0.25">
      <c r="B8" s="74" t="s">
        <v>155</v>
      </c>
      <c r="C8" s="164">
        <v>1</v>
      </c>
      <c r="D8" s="165">
        <v>639838633</v>
      </c>
    </row>
    <row r="9" spans="2:6" x14ac:dyDescent="0.25">
      <c r="B9" s="108" t="s">
        <v>244</v>
      </c>
      <c r="C9" s="235">
        <f>D9/$D$8</f>
        <v>3.3664073860322843E-2</v>
      </c>
      <c r="D9" s="166">
        <v>21539575</v>
      </c>
      <c r="E9" s="234"/>
    </row>
    <row r="10" spans="2:6" x14ac:dyDescent="0.25">
      <c r="B10" s="3" t="s">
        <v>245</v>
      </c>
      <c r="C10" s="235">
        <f t="shared" ref="C10:C14" si="0">D10/$D$8</f>
        <v>-4.5677157477923029E-3</v>
      </c>
      <c r="D10" s="166">
        <v>-2922601</v>
      </c>
      <c r="E10" s="234"/>
    </row>
    <row r="11" spans="2:6" x14ac:dyDescent="0.25">
      <c r="B11" s="3" t="s">
        <v>246</v>
      </c>
      <c r="C11" s="235">
        <f t="shared" si="0"/>
        <v>6.7218807652084994E-3</v>
      </c>
      <c r="D11" s="166">
        <v>4300919</v>
      </c>
      <c r="E11" s="234"/>
    </row>
    <row r="12" spans="2:6" x14ac:dyDescent="0.25">
      <c r="B12" s="3" t="s">
        <v>247</v>
      </c>
      <c r="C12" s="235">
        <f t="shared" si="0"/>
        <v>1.1324191173057848E-2</v>
      </c>
      <c r="D12" s="166">
        <v>7245655</v>
      </c>
      <c r="E12" s="234"/>
      <c r="F12" s="234"/>
    </row>
    <row r="13" spans="2:6" x14ac:dyDescent="0.25">
      <c r="B13" s="3" t="s">
        <v>248</v>
      </c>
      <c r="C13" s="235">
        <f t="shared" si="0"/>
        <v>1.8688787114859943E-2</v>
      </c>
      <c r="D13" s="166">
        <f>3326602+4808623+3822583</f>
        <v>11957808</v>
      </c>
      <c r="E13" s="234"/>
    </row>
    <row r="14" spans="2:6" x14ac:dyDescent="0.25">
      <c r="B14" s="3" t="s">
        <v>249</v>
      </c>
      <c r="C14" s="235">
        <f t="shared" si="0"/>
        <v>1.6332127291225941E-2</v>
      </c>
      <c r="D14" s="166">
        <f>4489140+6066518-105732</f>
        <v>10449926</v>
      </c>
      <c r="E14" s="234"/>
    </row>
    <row r="15" spans="2:6" x14ac:dyDescent="0.25">
      <c r="B15" s="74" t="s">
        <v>156</v>
      </c>
      <c r="C15" s="236">
        <f>SUM(C8:C14)</f>
        <v>1.082163344456883</v>
      </c>
      <c r="D15" s="165">
        <f t="shared" ref="D15" si="1">SUM(D8:D14)</f>
        <v>692409915</v>
      </c>
    </row>
    <row r="16" spans="2:6" x14ac:dyDescent="0.25">
      <c r="B16" s="70"/>
      <c r="C16" s="38"/>
      <c r="D16" s="38"/>
    </row>
    <row r="17" spans="2:4" x14ac:dyDescent="0.25">
      <c r="B17" s="29" t="s">
        <v>174</v>
      </c>
      <c r="C17" s="100"/>
      <c r="D17" s="75">
        <f>SUM(D9:D14)</f>
        <v>52571282</v>
      </c>
    </row>
    <row r="18" spans="2:4" x14ac:dyDescent="0.25">
      <c r="B18" s="29" t="s">
        <v>175</v>
      </c>
      <c r="C18" s="239">
        <f>C15/C8-1</f>
        <v>8.2163344456883003E-2</v>
      </c>
      <c r="D18" s="101"/>
    </row>
    <row r="19" spans="2:4" x14ac:dyDescent="0.25">
      <c r="B19" s="70" t="s">
        <v>91</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M39"/>
  <sheetViews>
    <sheetView showGridLines="0" zoomScale="70" zoomScaleNormal="70" workbookViewId="0">
      <selection activeCell="G45" sqref="G45"/>
    </sheetView>
  </sheetViews>
  <sheetFormatPr defaultRowHeight="15" x14ac:dyDescent="0.25"/>
  <cols>
    <col min="2" max="2" width="64.7109375" bestFit="1" customWidth="1"/>
    <col min="3" max="3" width="18.85546875" customWidth="1"/>
    <col min="4" max="4" width="18.140625" customWidth="1"/>
    <col min="5" max="5" width="25.140625" customWidth="1"/>
    <col min="6" max="6" width="23.85546875" customWidth="1"/>
    <col min="7" max="7" width="45.5703125" customWidth="1"/>
    <col min="13" max="13" width="14.5703125" bestFit="1" customWidth="1"/>
  </cols>
  <sheetData>
    <row r="1" spans="2:7" x14ac:dyDescent="0.25">
      <c r="B1" s="247" t="s">
        <v>92</v>
      </c>
      <c r="C1" s="247"/>
      <c r="D1" s="247"/>
      <c r="E1" s="247"/>
      <c r="F1" s="247"/>
      <c r="G1" s="247"/>
    </row>
    <row r="2" spans="2:7" ht="18.75" x14ac:dyDescent="0.3">
      <c r="B2" s="304" t="s">
        <v>9</v>
      </c>
      <c r="C2" s="305"/>
      <c r="D2" s="305"/>
      <c r="E2" s="305"/>
      <c r="F2" s="305"/>
      <c r="G2" s="306"/>
    </row>
    <row r="3" spans="2:7" ht="18.75" x14ac:dyDescent="0.3">
      <c r="B3" s="298" t="s">
        <v>93</v>
      </c>
      <c r="C3" s="299"/>
      <c r="D3" s="299"/>
      <c r="E3" s="299"/>
      <c r="F3" s="299"/>
      <c r="G3" s="300"/>
    </row>
    <row r="4" spans="2:7" ht="63" customHeight="1" x14ac:dyDescent="0.25">
      <c r="B4" s="307" t="s">
        <v>213</v>
      </c>
      <c r="C4" s="308"/>
      <c r="D4" s="308"/>
      <c r="E4" s="308"/>
      <c r="F4" s="308"/>
      <c r="G4" s="309"/>
    </row>
    <row r="5" spans="2:7" ht="17.45" customHeight="1" x14ac:dyDescent="0.25">
      <c r="B5" s="41" t="s">
        <v>94</v>
      </c>
      <c r="C5" s="310" t="s">
        <v>95</v>
      </c>
      <c r="D5" s="311"/>
      <c r="E5" s="311"/>
      <c r="F5" s="312"/>
      <c r="G5" s="51" t="s">
        <v>96</v>
      </c>
    </row>
    <row r="6" spans="2:7" ht="31.5" customHeight="1" x14ac:dyDescent="0.25">
      <c r="B6" s="16"/>
      <c r="C6" s="44" t="s">
        <v>97</v>
      </c>
      <c r="D6" s="45" t="s">
        <v>98</v>
      </c>
      <c r="E6" s="144" t="s">
        <v>212</v>
      </c>
      <c r="F6" s="144" t="s">
        <v>99</v>
      </c>
      <c r="G6" s="16"/>
    </row>
    <row r="7" spans="2:7" ht="31.5" customHeight="1" x14ac:dyDescent="0.25">
      <c r="B7" s="145" t="s">
        <v>100</v>
      </c>
      <c r="C7" s="146">
        <v>0.02</v>
      </c>
      <c r="D7" s="147">
        <v>500000</v>
      </c>
      <c r="E7" s="148">
        <v>0.6</v>
      </c>
      <c r="F7" s="149">
        <f>C7*E7</f>
        <v>1.2E-2</v>
      </c>
      <c r="G7" s="145" t="s">
        <v>101</v>
      </c>
    </row>
    <row r="8" spans="2:7" ht="27" customHeight="1" x14ac:dyDescent="0.25">
      <c r="B8" s="16" t="s">
        <v>102</v>
      </c>
      <c r="C8" s="237">
        <v>0.03</v>
      </c>
      <c r="D8" s="242">
        <v>438709</v>
      </c>
      <c r="E8" s="44">
        <f>D8/$D$16</f>
        <v>2.1738344086498898E-2</v>
      </c>
      <c r="F8" s="9">
        <f>C8*E8</f>
        <v>6.521503225949669E-4</v>
      </c>
      <c r="G8" s="16"/>
    </row>
    <row r="9" spans="2:7" ht="27" customHeight="1" x14ac:dyDescent="0.25">
      <c r="B9" s="30" t="s">
        <v>252</v>
      </c>
      <c r="C9" s="237">
        <v>8.5999999999999993E-2</v>
      </c>
      <c r="D9" s="45">
        <f>8262487</f>
        <v>8262487</v>
      </c>
      <c r="E9" s="44">
        <f t="shared" ref="E9:E14" si="0">D9/$D$16</f>
        <v>0.40941212834982643</v>
      </c>
      <c r="F9" s="9">
        <f t="shared" ref="F9:F15" si="1">C9*E9</f>
        <v>3.520944303808507E-2</v>
      </c>
      <c r="G9" s="16" t="s">
        <v>253</v>
      </c>
    </row>
    <row r="10" spans="2:7" ht="27" customHeight="1" x14ac:dyDescent="0.25">
      <c r="B10" s="16" t="s">
        <v>254</v>
      </c>
      <c r="C10" s="237">
        <v>0.14499999999999999</v>
      </c>
      <c r="D10" s="45">
        <v>379000</v>
      </c>
      <c r="E10" s="44">
        <f t="shared" si="0"/>
        <v>1.8779720518118121E-2</v>
      </c>
      <c r="F10" s="9">
        <f t="shared" si="1"/>
        <v>2.7230594751271272E-3</v>
      </c>
      <c r="G10" s="16"/>
    </row>
    <row r="11" spans="2:7" ht="27" customHeight="1" x14ac:dyDescent="0.25">
      <c r="B11" s="16" t="s">
        <v>103</v>
      </c>
      <c r="C11" s="44">
        <v>0.15</v>
      </c>
      <c r="D11" s="45">
        <v>1590865</v>
      </c>
      <c r="E11" s="44">
        <f t="shared" si="0"/>
        <v>7.8828496258722902E-2</v>
      </c>
      <c r="F11" s="9">
        <f t="shared" si="1"/>
        <v>1.1824274438808435E-2</v>
      </c>
      <c r="G11" s="16"/>
    </row>
    <row r="12" spans="2:7" ht="27" customHeight="1" x14ac:dyDescent="0.25">
      <c r="B12" s="16" t="s">
        <v>37</v>
      </c>
      <c r="C12" s="44">
        <v>0.13</v>
      </c>
      <c r="D12" s="45">
        <v>2250283</v>
      </c>
      <c r="E12" s="44">
        <f t="shared" si="0"/>
        <v>0.11150312883027018</v>
      </c>
      <c r="F12" s="9">
        <f t="shared" si="1"/>
        <v>1.4495406747935124E-2</v>
      </c>
      <c r="G12" s="16"/>
    </row>
    <row r="13" spans="2:7" ht="27" customHeight="1" x14ac:dyDescent="0.25">
      <c r="B13" s="30" t="s">
        <v>239</v>
      </c>
      <c r="C13" s="44">
        <v>0.33</v>
      </c>
      <c r="D13" s="45">
        <v>2607000</v>
      </c>
      <c r="E13" s="44">
        <f t="shared" si="0"/>
        <v>0.12917871079349325</v>
      </c>
      <c r="F13" s="9">
        <f t="shared" si="1"/>
        <v>4.2628974561852773E-2</v>
      </c>
      <c r="G13" s="16"/>
    </row>
    <row r="14" spans="2:7" ht="27" customHeight="1" x14ac:dyDescent="0.25">
      <c r="B14" s="30" t="s">
        <v>240</v>
      </c>
      <c r="C14" s="44">
        <v>0.11</v>
      </c>
      <c r="D14" s="45">
        <v>4592000</v>
      </c>
      <c r="E14" s="44">
        <f t="shared" si="0"/>
        <v>0.22753687762321478</v>
      </c>
      <c r="F14" s="9">
        <f t="shared" si="1"/>
        <v>2.5029056538553626E-2</v>
      </c>
      <c r="G14" s="16"/>
    </row>
    <row r="15" spans="2:7" ht="27" customHeight="1" x14ac:dyDescent="0.25">
      <c r="B15" s="30" t="s">
        <v>255</v>
      </c>
      <c r="C15" s="237">
        <v>0.05</v>
      </c>
      <c r="D15" s="45">
        <f>61000</f>
        <v>61000</v>
      </c>
      <c r="E15" s="44">
        <f>D15/$D$16</f>
        <v>3.022593539855423E-3</v>
      </c>
      <c r="F15" s="9">
        <f t="shared" si="1"/>
        <v>1.5112967699277115E-4</v>
      </c>
      <c r="G15" s="16"/>
    </row>
    <row r="16" spans="2:7" x14ac:dyDescent="0.25">
      <c r="B16" s="11" t="s">
        <v>13</v>
      </c>
      <c r="C16" s="72" t="s">
        <v>104</v>
      </c>
      <c r="D16" s="73">
        <f>SUM(D8:D15)</f>
        <v>20181344</v>
      </c>
      <c r="E16" s="194">
        <f>SUM(E8:E15)</f>
        <v>0.99999999999999989</v>
      </c>
      <c r="F16" s="193">
        <f>SUM(F8:F15)</f>
        <v>0.13271349479994987</v>
      </c>
      <c r="G16" s="11"/>
    </row>
    <row r="17" spans="2:6" x14ac:dyDescent="0.25">
      <c r="B17" s="18" t="s">
        <v>214</v>
      </c>
      <c r="E17" t="s">
        <v>209</v>
      </c>
    </row>
    <row r="19" spans="2:6" x14ac:dyDescent="0.25">
      <c r="B19" s="303" t="s">
        <v>105</v>
      </c>
      <c r="C19" s="303"/>
      <c r="D19" s="303"/>
      <c r="E19" s="303"/>
      <c r="F19" s="168"/>
    </row>
    <row r="21" spans="2:6" ht="26.25" x14ac:dyDescent="0.4">
      <c r="B21" s="189" t="s">
        <v>208</v>
      </c>
    </row>
    <row r="39" spans="13:13" x14ac:dyDescent="0.25">
      <c r="M39" s="14"/>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18"/>
  <sheetViews>
    <sheetView showGridLines="0" workbookViewId="0">
      <selection activeCell="D22" sqref="D22"/>
    </sheetView>
  </sheetViews>
  <sheetFormatPr defaultColWidth="8.85546875" defaultRowHeight="15" x14ac:dyDescent="0.25"/>
  <cols>
    <col min="1" max="1" width="8.85546875" style="1"/>
    <col min="2" max="2" width="32.28515625" style="35" customWidth="1"/>
    <col min="3" max="3" width="22.28515625" style="35" customWidth="1"/>
    <col min="4" max="4" width="21" style="35" customWidth="1"/>
    <col min="5" max="5" width="17.5703125" style="35" customWidth="1"/>
    <col min="6" max="6" width="19.5703125" style="35" customWidth="1"/>
    <col min="7" max="16384" width="8.85546875" style="1"/>
  </cols>
  <sheetData>
    <row r="1" spans="2:6" s="104" customFormat="1" x14ac:dyDescent="0.25">
      <c r="B1" s="105"/>
      <c r="C1" s="105"/>
      <c r="D1" s="105"/>
      <c r="E1" s="105"/>
      <c r="F1" s="105"/>
    </row>
    <row r="2" spans="2:6" ht="15.75" x14ac:dyDescent="0.25">
      <c r="B2" s="314" t="s">
        <v>106</v>
      </c>
      <c r="C2" s="314"/>
      <c r="D2" s="314"/>
      <c r="E2" s="314"/>
      <c r="F2" s="314"/>
    </row>
    <row r="3" spans="2:6" ht="18.75" x14ac:dyDescent="0.3">
      <c r="B3" s="315" t="s">
        <v>2</v>
      </c>
      <c r="C3" s="316"/>
      <c r="D3" s="316"/>
      <c r="E3" s="316"/>
      <c r="F3" s="317"/>
    </row>
    <row r="4" spans="2:6" ht="18.75" x14ac:dyDescent="0.3">
      <c r="B4" s="298" t="s">
        <v>107</v>
      </c>
      <c r="C4" s="299"/>
      <c r="D4" s="299"/>
      <c r="E4" s="299"/>
      <c r="F4" s="300"/>
    </row>
    <row r="5" spans="2:6" ht="15.75" x14ac:dyDescent="0.25">
      <c r="B5" s="31"/>
      <c r="C5" s="31"/>
      <c r="D5" s="31"/>
      <c r="E5" s="31"/>
      <c r="F5" s="31"/>
    </row>
    <row r="6" spans="2:6" ht="67.5" customHeight="1" x14ac:dyDescent="0.25">
      <c r="B6" s="313" t="s">
        <v>203</v>
      </c>
      <c r="C6" s="313"/>
      <c r="D6" s="313"/>
      <c r="E6" s="313"/>
      <c r="F6" s="313"/>
    </row>
    <row r="7" spans="2:6" ht="15.75" x14ac:dyDescent="0.25">
      <c r="B7" s="31"/>
      <c r="C7" s="31"/>
      <c r="D7" s="31"/>
      <c r="E7" s="31"/>
      <c r="F7" s="31"/>
    </row>
    <row r="8" spans="2:6" ht="48" customHeight="1" x14ac:dyDescent="0.25">
      <c r="B8" s="32" t="s">
        <v>108</v>
      </c>
      <c r="C8" s="220" t="s">
        <v>176</v>
      </c>
      <c r="D8" s="220" t="s">
        <v>109</v>
      </c>
      <c r="E8" s="220" t="s">
        <v>110</v>
      </c>
      <c r="F8" s="221" t="s">
        <v>111</v>
      </c>
    </row>
    <row r="9" spans="2:6" ht="25.5" customHeight="1" x14ac:dyDescent="0.25">
      <c r="B9" s="222"/>
      <c r="C9" s="223" t="s">
        <v>112</v>
      </c>
      <c r="D9" s="223" t="s">
        <v>177</v>
      </c>
      <c r="E9" s="223" t="s">
        <v>177</v>
      </c>
      <c r="F9" s="224" t="s">
        <v>178</v>
      </c>
    </row>
    <row r="10" spans="2:6" ht="20.100000000000001" customHeight="1" x14ac:dyDescent="0.25">
      <c r="B10" s="34" t="s">
        <v>113</v>
      </c>
      <c r="C10" s="195" t="s">
        <v>218</v>
      </c>
      <c r="D10" s="225">
        <v>11601</v>
      </c>
      <c r="E10" s="210">
        <v>1532750</v>
      </c>
      <c r="F10" s="211">
        <v>0</v>
      </c>
    </row>
    <row r="11" spans="2:6" ht="20.100000000000001" customHeight="1" x14ac:dyDescent="0.25">
      <c r="B11" s="34" t="s">
        <v>114</v>
      </c>
      <c r="C11" s="195" t="s">
        <v>218</v>
      </c>
      <c r="D11" s="225">
        <v>7013</v>
      </c>
      <c r="E11" s="210">
        <v>3500000</v>
      </c>
      <c r="F11" s="211">
        <v>0</v>
      </c>
    </row>
    <row r="12" spans="2:6" ht="20.100000000000001" customHeight="1" x14ac:dyDescent="0.25">
      <c r="B12" s="230" t="s">
        <v>138</v>
      </c>
      <c r="C12" s="195"/>
      <c r="D12" s="225"/>
      <c r="E12" s="210"/>
      <c r="F12" s="211"/>
    </row>
    <row r="13" spans="2:6" ht="20.100000000000001" customHeight="1" x14ac:dyDescent="0.25">
      <c r="B13" s="187" t="s">
        <v>201</v>
      </c>
      <c r="C13" s="196" t="s">
        <v>218</v>
      </c>
      <c r="D13" s="226">
        <v>1819</v>
      </c>
      <c r="E13" s="212">
        <v>0</v>
      </c>
      <c r="F13" s="213">
        <v>0</v>
      </c>
    </row>
    <row r="14" spans="2:6" ht="20.100000000000001" customHeight="1" x14ac:dyDescent="0.25">
      <c r="B14" s="188" t="s">
        <v>202</v>
      </c>
      <c r="C14" s="197" t="s">
        <v>218</v>
      </c>
      <c r="D14" s="227">
        <v>972</v>
      </c>
      <c r="E14" s="214">
        <v>0</v>
      </c>
      <c r="F14" s="215">
        <v>0</v>
      </c>
    </row>
    <row r="15" spans="2:6" ht="20.100000000000001" customHeight="1" thickBot="1" x14ac:dyDescent="0.3">
      <c r="B15" s="180" t="s">
        <v>115</v>
      </c>
      <c r="C15" s="198" t="s">
        <v>218</v>
      </c>
      <c r="D15" s="228">
        <f>2642+2025</f>
        <v>4667</v>
      </c>
      <c r="E15" s="216">
        <v>0</v>
      </c>
      <c r="F15" s="217">
        <v>0</v>
      </c>
    </row>
    <row r="16" spans="2:6" ht="20.100000000000001" customHeight="1" x14ac:dyDescent="0.25">
      <c r="B16" s="33" t="s">
        <v>116</v>
      </c>
      <c r="C16" s="179"/>
      <c r="D16" s="229">
        <f>SUM(D10:D15)</f>
        <v>26072</v>
      </c>
      <c r="E16" s="218">
        <f>SUM(E10:E15)</f>
        <v>5032750</v>
      </c>
      <c r="F16" s="219">
        <f>SUM(F10:F15)</f>
        <v>0</v>
      </c>
    </row>
    <row r="17" spans="2:5" ht="15.75" x14ac:dyDescent="0.25">
      <c r="B17" s="31"/>
    </row>
    <row r="18" spans="2:5" ht="15.75" x14ac:dyDescent="0.25">
      <c r="B18" s="36"/>
      <c r="E18" s="37"/>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B2:K30"/>
  <sheetViews>
    <sheetView showGridLines="0" zoomScale="94" zoomScaleNormal="100" zoomScaleSheetLayoutView="55" workbookViewId="0">
      <selection activeCell="K34" sqref="K34"/>
    </sheetView>
  </sheetViews>
  <sheetFormatPr defaultColWidth="9.140625" defaultRowHeight="15" customHeight="1" x14ac:dyDescent="0.25"/>
  <cols>
    <col min="1" max="1" width="3.5703125" style="102" customWidth="1"/>
    <col min="2" max="2" width="34.42578125" style="102" customWidth="1"/>
    <col min="3" max="3" width="21.140625" style="102" customWidth="1"/>
    <col min="4" max="4" width="17.85546875" style="102" bestFit="1" customWidth="1"/>
    <col min="5" max="6" width="22.7109375" style="102" customWidth="1"/>
    <col min="7" max="7" width="19.7109375" style="102" customWidth="1"/>
    <col min="8" max="11" width="22.7109375" style="102" customWidth="1"/>
    <col min="12" max="16384" width="9.140625" style="102"/>
  </cols>
  <sheetData>
    <row r="2" spans="2:11" s="1" customFormat="1" ht="15.75" x14ac:dyDescent="0.25">
      <c r="B2" s="314" t="s">
        <v>117</v>
      </c>
      <c r="C2" s="314"/>
      <c r="D2" s="314"/>
      <c r="E2" s="314"/>
      <c r="F2" s="314"/>
      <c r="G2" s="314"/>
      <c r="H2" s="314"/>
      <c r="I2" s="314"/>
      <c r="J2" s="314"/>
      <c r="K2" s="314"/>
    </row>
    <row r="3" spans="2:11" s="1" customFormat="1" ht="18.75" x14ac:dyDescent="0.3">
      <c r="B3" s="315" t="s">
        <v>118</v>
      </c>
      <c r="C3" s="316"/>
      <c r="D3" s="316"/>
      <c r="E3" s="316"/>
      <c r="F3" s="316"/>
      <c r="G3" s="316"/>
      <c r="H3" s="316"/>
      <c r="I3" s="316"/>
      <c r="J3" s="316"/>
      <c r="K3" s="317"/>
    </row>
    <row r="4" spans="2:11" s="1" customFormat="1" ht="18.75" x14ac:dyDescent="0.3">
      <c r="B4" s="298" t="s">
        <v>119</v>
      </c>
      <c r="C4" s="299"/>
      <c r="D4" s="299"/>
      <c r="E4" s="299"/>
      <c r="F4" s="299"/>
      <c r="G4" s="299"/>
      <c r="H4" s="299"/>
      <c r="I4" s="299"/>
      <c r="J4" s="299"/>
      <c r="K4" s="300"/>
    </row>
    <row r="5" spans="2:11" s="104" customFormat="1" ht="18.75" x14ac:dyDescent="0.3">
      <c r="B5" s="151"/>
      <c r="C5" s="151"/>
      <c r="D5" s="151"/>
      <c r="E5" s="151"/>
      <c r="F5" s="151"/>
      <c r="G5" s="151"/>
      <c r="H5" s="151"/>
      <c r="I5" s="151"/>
      <c r="J5" s="151"/>
      <c r="K5" s="151"/>
    </row>
    <row r="6" spans="2:11" s="104" customFormat="1" ht="18.75" customHeight="1" x14ac:dyDescent="0.25">
      <c r="B6" s="320" t="s">
        <v>207</v>
      </c>
      <c r="C6" s="320"/>
      <c r="D6" s="320"/>
      <c r="E6" s="320"/>
      <c r="F6" s="320"/>
      <c r="G6" s="320"/>
      <c r="H6" s="320"/>
      <c r="I6" s="320"/>
      <c r="J6" s="320"/>
      <c r="K6" s="320"/>
    </row>
    <row r="7" spans="2:11" s="104" customFormat="1" ht="18.75" customHeight="1" x14ac:dyDescent="0.25">
      <c r="B7" s="320"/>
      <c r="C7" s="320"/>
      <c r="D7" s="320"/>
      <c r="E7" s="320"/>
      <c r="F7" s="320"/>
      <c r="G7" s="320"/>
      <c r="H7" s="320"/>
      <c r="I7" s="320"/>
      <c r="J7" s="320"/>
      <c r="K7" s="320"/>
    </row>
    <row r="8" spans="2:11" s="104" customFormat="1" ht="18.75" x14ac:dyDescent="0.3">
      <c r="B8" s="103"/>
      <c r="C8" s="103"/>
      <c r="D8" s="103"/>
      <c r="E8" s="103"/>
      <c r="F8" s="103"/>
      <c r="G8" s="103"/>
      <c r="H8" s="103"/>
    </row>
    <row r="9" spans="2:11" s="152" customFormat="1" x14ac:dyDescent="0.25">
      <c r="B9" s="153"/>
      <c r="D9" s="153"/>
      <c r="E9" s="153"/>
      <c r="F9" s="153"/>
      <c r="G9" s="153"/>
      <c r="H9" s="153"/>
      <c r="I9" s="154"/>
      <c r="J9" s="154"/>
      <c r="K9" s="154"/>
    </row>
    <row r="10" spans="2:11" s="150" customFormat="1" ht="15" customHeight="1" x14ac:dyDescent="0.25">
      <c r="B10" s="318" t="s">
        <v>120</v>
      </c>
      <c r="C10" s="162" t="s">
        <v>121</v>
      </c>
      <c r="D10" s="182" t="s">
        <v>121</v>
      </c>
      <c r="E10" s="159" t="s">
        <v>122</v>
      </c>
      <c r="F10" s="160" t="s">
        <v>206</v>
      </c>
      <c r="G10" s="240" t="s">
        <v>121</v>
      </c>
      <c r="H10" s="159" t="s">
        <v>122</v>
      </c>
      <c r="I10" s="241" t="s">
        <v>206</v>
      </c>
      <c r="J10" s="190" t="s">
        <v>122</v>
      </c>
      <c r="K10" s="191" t="s">
        <v>206</v>
      </c>
    </row>
    <row r="11" spans="2:11" s="150" customFormat="1" x14ac:dyDescent="0.25">
      <c r="B11" s="319"/>
      <c r="C11" s="161" t="s">
        <v>123</v>
      </c>
      <c r="D11" s="321" t="s">
        <v>205</v>
      </c>
      <c r="E11" s="322"/>
      <c r="F11" s="323"/>
      <c r="G11" s="321" t="s">
        <v>124</v>
      </c>
      <c r="H11" s="322"/>
      <c r="I11" s="323"/>
      <c r="J11" s="324" t="s">
        <v>204</v>
      </c>
      <c r="K11" s="325"/>
    </row>
    <row r="12" spans="2:11" ht="15" customHeight="1" x14ac:dyDescent="0.25">
      <c r="B12" s="199" t="s">
        <v>219</v>
      </c>
      <c r="C12" s="186">
        <f>+D12+G12</f>
        <v>6646587.8199999994</v>
      </c>
      <c r="D12" s="184">
        <v>0</v>
      </c>
      <c r="E12" s="183">
        <v>14304723</v>
      </c>
      <c r="F12" s="185">
        <v>0</v>
      </c>
      <c r="G12" s="200">
        <f>786794.3+5859793.52</f>
        <v>6646587.8199999994</v>
      </c>
      <c r="H12" s="200">
        <v>6646587.8200000003</v>
      </c>
      <c r="I12" s="209">
        <v>0</v>
      </c>
      <c r="J12" s="207">
        <v>0</v>
      </c>
      <c r="K12" s="208">
        <v>0</v>
      </c>
    </row>
    <row r="13" spans="2:11" ht="15" customHeight="1" x14ac:dyDescent="0.25">
      <c r="B13" s="155" t="s">
        <v>220</v>
      </c>
      <c r="C13" s="186">
        <f t="shared" ref="C13:C27" si="0">+D13+G13</f>
        <v>0</v>
      </c>
      <c r="D13" s="184">
        <v>0</v>
      </c>
      <c r="E13" s="183">
        <v>0</v>
      </c>
      <c r="F13" s="185">
        <v>20310538</v>
      </c>
      <c r="G13" s="200">
        <v>0</v>
      </c>
      <c r="H13" s="200">
        <v>0</v>
      </c>
      <c r="I13" s="209">
        <v>0</v>
      </c>
      <c r="J13" s="207">
        <v>0</v>
      </c>
      <c r="K13" s="208">
        <v>0</v>
      </c>
    </row>
    <row r="14" spans="2:11" ht="15" customHeight="1" x14ac:dyDescent="0.25">
      <c r="B14" s="155" t="s">
        <v>221</v>
      </c>
      <c r="C14" s="186">
        <f t="shared" si="0"/>
        <v>727275.71</v>
      </c>
      <c r="D14" s="184">
        <v>0</v>
      </c>
      <c r="E14" s="183">
        <f>-9765+1779</f>
        <v>-7986</v>
      </c>
      <c r="F14" s="185">
        <v>0</v>
      </c>
      <c r="G14" s="200">
        <v>727275.71</v>
      </c>
      <c r="H14" s="200">
        <v>727276</v>
      </c>
      <c r="I14" s="209">
        <v>0</v>
      </c>
      <c r="J14" s="207">
        <v>0</v>
      </c>
      <c r="K14" s="208">
        <v>0</v>
      </c>
    </row>
    <row r="15" spans="2:11" ht="15" customHeight="1" x14ac:dyDescent="0.25">
      <c r="B15" s="155" t="s">
        <v>222</v>
      </c>
      <c r="C15" s="186">
        <f t="shared" si="0"/>
        <v>0</v>
      </c>
      <c r="D15" s="184">
        <v>0</v>
      </c>
      <c r="E15" s="183">
        <v>0</v>
      </c>
      <c r="F15" s="185">
        <v>0</v>
      </c>
      <c r="G15" s="200">
        <v>0</v>
      </c>
      <c r="H15" s="200">
        <v>0</v>
      </c>
      <c r="I15" s="209">
        <v>0</v>
      </c>
      <c r="J15" s="207">
        <v>0</v>
      </c>
      <c r="K15" s="208">
        <v>0</v>
      </c>
    </row>
    <row r="16" spans="2:11" ht="15" customHeight="1" x14ac:dyDescent="0.25">
      <c r="B16" s="155" t="s">
        <v>223</v>
      </c>
      <c r="C16" s="186">
        <f t="shared" si="0"/>
        <v>0</v>
      </c>
      <c r="D16" s="184">
        <v>0</v>
      </c>
      <c r="E16" s="183">
        <v>0</v>
      </c>
      <c r="F16" s="185">
        <v>0</v>
      </c>
      <c r="G16" s="200">
        <v>0</v>
      </c>
      <c r="H16" s="200">
        <v>0</v>
      </c>
      <c r="I16" s="209">
        <v>0</v>
      </c>
      <c r="J16" s="207">
        <v>0</v>
      </c>
      <c r="K16" s="208">
        <v>0</v>
      </c>
    </row>
    <row r="17" spans="2:11" ht="15" customHeight="1" x14ac:dyDescent="0.25">
      <c r="B17" s="155" t="s">
        <v>224</v>
      </c>
      <c r="C17" s="186">
        <f t="shared" si="0"/>
        <v>0</v>
      </c>
      <c r="D17" s="184">
        <v>0</v>
      </c>
      <c r="E17" s="183">
        <v>0</v>
      </c>
      <c r="F17" s="185">
        <v>0</v>
      </c>
      <c r="G17" s="200">
        <v>0</v>
      </c>
      <c r="H17" s="200">
        <v>0</v>
      </c>
      <c r="I17" s="209">
        <v>0</v>
      </c>
      <c r="J17" s="207">
        <v>0</v>
      </c>
      <c r="K17" s="208">
        <v>0</v>
      </c>
    </row>
    <row r="18" spans="2:11" ht="15" customHeight="1" x14ac:dyDescent="0.25">
      <c r="B18" s="155" t="s">
        <v>225</v>
      </c>
      <c r="C18" s="186">
        <f t="shared" si="0"/>
        <v>0</v>
      </c>
      <c r="D18" s="184">
        <v>0</v>
      </c>
      <c r="E18" s="183">
        <v>1200</v>
      </c>
      <c r="F18" s="185">
        <v>0</v>
      </c>
      <c r="G18" s="200">
        <v>0</v>
      </c>
      <c r="H18" s="200">
        <v>0</v>
      </c>
      <c r="I18" s="209">
        <v>0</v>
      </c>
      <c r="J18" s="207">
        <v>0</v>
      </c>
      <c r="K18" s="208">
        <v>0</v>
      </c>
    </row>
    <row r="19" spans="2:11" ht="15" customHeight="1" x14ac:dyDescent="0.25">
      <c r="B19" s="155" t="s">
        <v>226</v>
      </c>
      <c r="C19" s="186">
        <f t="shared" si="0"/>
        <v>0</v>
      </c>
      <c r="D19" s="184">
        <v>0</v>
      </c>
      <c r="E19" s="183">
        <v>0</v>
      </c>
      <c r="F19" s="185">
        <v>0</v>
      </c>
      <c r="G19" s="200">
        <v>0</v>
      </c>
      <c r="H19" s="200">
        <v>0</v>
      </c>
      <c r="I19" s="209">
        <v>0</v>
      </c>
      <c r="J19" s="207">
        <v>0</v>
      </c>
      <c r="K19" s="208">
        <v>0</v>
      </c>
    </row>
    <row r="20" spans="2:11" ht="15" customHeight="1" x14ac:dyDescent="0.25">
      <c r="B20" s="155" t="s">
        <v>227</v>
      </c>
      <c r="C20" s="186">
        <f t="shared" si="0"/>
        <v>0</v>
      </c>
      <c r="D20" s="184">
        <v>0</v>
      </c>
      <c r="E20" s="183">
        <v>0</v>
      </c>
      <c r="F20" s="185">
        <v>0</v>
      </c>
      <c r="G20" s="200">
        <v>0</v>
      </c>
      <c r="H20" s="200">
        <v>0</v>
      </c>
      <c r="I20" s="209">
        <v>0</v>
      </c>
      <c r="J20" s="207">
        <v>0</v>
      </c>
      <c r="K20" s="208">
        <v>0</v>
      </c>
    </row>
    <row r="21" spans="2:11" ht="15" customHeight="1" x14ac:dyDescent="0.25">
      <c r="B21" s="155" t="s">
        <v>228</v>
      </c>
      <c r="C21" s="186">
        <f t="shared" si="0"/>
        <v>0</v>
      </c>
      <c r="D21" s="184">
        <v>0</v>
      </c>
      <c r="E21" s="183">
        <v>0</v>
      </c>
      <c r="F21" s="185">
        <v>0</v>
      </c>
      <c r="G21" s="200">
        <v>0</v>
      </c>
      <c r="H21" s="200">
        <v>0</v>
      </c>
      <c r="I21" s="209">
        <v>0</v>
      </c>
      <c r="J21" s="207">
        <v>0</v>
      </c>
      <c r="K21" s="208">
        <v>0</v>
      </c>
    </row>
    <row r="22" spans="2:11" ht="15" customHeight="1" x14ac:dyDescent="0.25">
      <c r="B22" s="155" t="s">
        <v>229</v>
      </c>
      <c r="C22" s="186">
        <f t="shared" si="0"/>
        <v>0</v>
      </c>
      <c r="D22" s="184">
        <v>0</v>
      </c>
      <c r="E22" s="183">
        <v>42992</v>
      </c>
      <c r="F22" s="185">
        <v>0</v>
      </c>
      <c r="G22" s="200">
        <v>0</v>
      </c>
      <c r="H22" s="200">
        <v>0</v>
      </c>
      <c r="I22" s="209">
        <v>0</v>
      </c>
      <c r="J22" s="207">
        <v>0</v>
      </c>
      <c r="K22" s="208">
        <v>0</v>
      </c>
    </row>
    <row r="23" spans="2:11" ht="15" customHeight="1" x14ac:dyDescent="0.25">
      <c r="B23" s="155" t="s">
        <v>232</v>
      </c>
      <c r="C23" s="186">
        <f t="shared" si="0"/>
        <v>5940</v>
      </c>
      <c r="D23" s="184">
        <v>0</v>
      </c>
      <c r="E23" s="183">
        <v>1155</v>
      </c>
      <c r="F23" s="185">
        <v>0</v>
      </c>
      <c r="G23" s="200">
        <v>5940</v>
      </c>
      <c r="H23" s="200">
        <v>5940</v>
      </c>
      <c r="I23" s="209">
        <v>0</v>
      </c>
      <c r="J23" s="207">
        <v>0</v>
      </c>
      <c r="K23" s="208">
        <v>0</v>
      </c>
    </row>
    <row r="24" spans="2:11" ht="15" customHeight="1" x14ac:dyDescent="0.25">
      <c r="B24" s="155" t="s">
        <v>233</v>
      </c>
      <c r="C24" s="186">
        <f t="shared" si="0"/>
        <v>0</v>
      </c>
      <c r="D24" s="184">
        <v>0</v>
      </c>
      <c r="E24" s="183">
        <v>5610</v>
      </c>
      <c r="F24" s="185">
        <v>0</v>
      </c>
      <c r="G24" s="200">
        <v>0</v>
      </c>
      <c r="H24" s="200">
        <v>0</v>
      </c>
      <c r="I24" s="209">
        <v>0</v>
      </c>
      <c r="J24" s="207">
        <v>0</v>
      </c>
      <c r="K24" s="208">
        <v>0</v>
      </c>
    </row>
    <row r="25" spans="2:11" ht="15" customHeight="1" x14ac:dyDescent="0.25">
      <c r="B25" s="155" t="s">
        <v>234</v>
      </c>
      <c r="C25" s="186">
        <f t="shared" si="0"/>
        <v>2145</v>
      </c>
      <c r="D25" s="184">
        <v>0</v>
      </c>
      <c r="E25" s="183">
        <v>0</v>
      </c>
      <c r="F25" s="185">
        <v>0</v>
      </c>
      <c r="G25" s="200">
        <v>2145</v>
      </c>
      <c r="H25" s="200">
        <v>2145</v>
      </c>
      <c r="I25" s="209">
        <v>0</v>
      </c>
      <c r="J25" s="207">
        <v>0</v>
      </c>
      <c r="K25" s="208">
        <v>0</v>
      </c>
    </row>
    <row r="26" spans="2:11" ht="15" customHeight="1" x14ac:dyDescent="0.25">
      <c r="B26" s="155" t="s">
        <v>230</v>
      </c>
      <c r="C26" s="186">
        <f t="shared" si="0"/>
        <v>61495</v>
      </c>
      <c r="D26" s="184">
        <v>0</v>
      </c>
      <c r="E26" s="183">
        <v>0</v>
      </c>
      <c r="F26" s="185">
        <v>0</v>
      </c>
      <c r="G26" s="200">
        <f>23047.5+20317.5+18130</f>
        <v>61495</v>
      </c>
      <c r="H26" s="200">
        <f>23047.5+20317.5+18130</f>
        <v>61495</v>
      </c>
      <c r="I26" s="209">
        <v>0</v>
      </c>
      <c r="J26" s="207">
        <v>0</v>
      </c>
      <c r="K26" s="208">
        <v>0</v>
      </c>
    </row>
    <row r="27" spans="2:11" ht="15" customHeight="1" x14ac:dyDescent="0.25">
      <c r="B27" s="155" t="s">
        <v>231</v>
      </c>
      <c r="C27" s="186">
        <f t="shared" si="0"/>
        <v>0</v>
      </c>
      <c r="D27" s="184">
        <v>0</v>
      </c>
      <c r="E27" s="183">
        <v>2640</v>
      </c>
      <c r="F27" s="185">
        <v>0</v>
      </c>
      <c r="G27" s="200">
        <v>0</v>
      </c>
      <c r="H27" s="200">
        <v>0</v>
      </c>
      <c r="I27" s="209">
        <v>0</v>
      </c>
      <c r="J27" s="207">
        <v>0</v>
      </c>
      <c r="K27" s="208">
        <v>0</v>
      </c>
    </row>
    <row r="28" spans="2:11" ht="15" customHeight="1" x14ac:dyDescent="0.25">
      <c r="B28" s="155"/>
      <c r="C28" s="186"/>
      <c r="D28" s="184"/>
      <c r="E28" s="183"/>
      <c r="F28" s="185"/>
      <c r="G28" s="156"/>
      <c r="H28" s="156"/>
      <c r="I28" s="157"/>
      <c r="J28" s="207">
        <v>0</v>
      </c>
      <c r="K28" s="208">
        <v>0</v>
      </c>
    </row>
    <row r="29" spans="2:11" ht="15" customHeight="1" thickBot="1" x14ac:dyDescent="0.3">
      <c r="B29" s="158" t="s">
        <v>125</v>
      </c>
      <c r="C29" s="201">
        <f t="shared" ref="C29:K29" si="1">SUM(C12:C28)</f>
        <v>7443443.5299999993</v>
      </c>
      <c r="D29" s="202">
        <f t="shared" si="1"/>
        <v>0</v>
      </c>
      <c r="E29" s="203">
        <f t="shared" si="1"/>
        <v>14350334</v>
      </c>
      <c r="F29" s="204">
        <f t="shared" si="1"/>
        <v>20310538</v>
      </c>
      <c r="G29" s="203">
        <f t="shared" si="1"/>
        <v>7443443.5299999993</v>
      </c>
      <c r="H29" s="203">
        <f t="shared" si="1"/>
        <v>7443443.8200000003</v>
      </c>
      <c r="I29" s="204">
        <f t="shared" si="1"/>
        <v>0</v>
      </c>
      <c r="J29" s="205">
        <f t="shared" si="1"/>
        <v>0</v>
      </c>
      <c r="K29" s="206">
        <f t="shared" si="1"/>
        <v>0</v>
      </c>
    </row>
    <row r="30" spans="2:11" ht="15" customHeight="1" thickTop="1" x14ac:dyDescent="0.25"/>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5" x14ac:dyDescent="0.25"/>
  <cols>
    <col min="1" max="1" width="42.7109375" style="59" customWidth="1"/>
    <col min="2" max="2" width="13.85546875" style="59" customWidth="1"/>
  </cols>
  <sheetData>
    <row r="2" spans="1:2" x14ac:dyDescent="0.25">
      <c r="A2" s="326" t="s">
        <v>126</v>
      </c>
      <c r="B2" s="326"/>
    </row>
    <row r="3" spans="1:2" ht="15.75" x14ac:dyDescent="0.25">
      <c r="A3" s="327" t="s">
        <v>127</v>
      </c>
      <c r="B3" s="327"/>
    </row>
    <row r="4" spans="1:2" ht="24.6" customHeight="1" x14ac:dyDescent="0.25">
      <c r="A4" s="328" t="s">
        <v>128</v>
      </c>
      <c r="B4" s="328"/>
    </row>
    <row r="5" spans="1:2" x14ac:dyDescent="0.25">
      <c r="A5" s="60" t="s">
        <v>129</v>
      </c>
      <c r="B5" s="61">
        <f>'1. Reconciliation'!C23</f>
        <v>313970337.49000001</v>
      </c>
    </row>
    <row r="6" spans="1:2" x14ac:dyDescent="0.25">
      <c r="A6" s="60" t="s">
        <v>130</v>
      </c>
      <c r="B6" s="62">
        <f>'1. Reconciliation'!C26</f>
        <v>0.16129880658875639</v>
      </c>
    </row>
    <row r="7" spans="1:2" x14ac:dyDescent="0.25">
      <c r="A7" s="60" t="s">
        <v>131</v>
      </c>
      <c r="B7" s="62">
        <f>'1. Reconciliation'!C75</f>
        <v>4.784081440094206E-2</v>
      </c>
    </row>
    <row r="8" spans="1:2" x14ac:dyDescent="0.25">
      <c r="A8" s="63"/>
      <c r="B8" s="64"/>
    </row>
    <row r="9" spans="1:2" x14ac:dyDescent="0.25">
      <c r="A9" s="65" t="s">
        <v>132</v>
      </c>
      <c r="B9" s="66"/>
    </row>
    <row r="10" spans="1:2" ht="39.6" customHeight="1" x14ac:dyDescent="0.25">
      <c r="A10" s="60" t="s">
        <v>133</v>
      </c>
      <c r="B10" s="67">
        <f>+'1. Reconciliation'!C12</f>
        <v>22673757.340000004</v>
      </c>
    </row>
    <row r="11" spans="1:2" x14ac:dyDescent="0.25">
      <c r="A11" s="60" t="s">
        <v>134</v>
      </c>
      <c r="B11" s="67">
        <f>+'1. Reconciliation'!C14</f>
        <v>28229748.809999999</v>
      </c>
    </row>
    <row r="12" spans="1:2" x14ac:dyDescent="0.25">
      <c r="A12" s="60" t="s">
        <v>23</v>
      </c>
      <c r="B12" s="67">
        <f>+'1. Reconciliation'!C16</f>
        <v>0</v>
      </c>
    </row>
    <row r="13" spans="1:2" x14ac:dyDescent="0.25">
      <c r="A13" s="60" t="s">
        <v>24</v>
      </c>
      <c r="B13" s="67">
        <f>+'1. Reconciliation'!C17</f>
        <v>0</v>
      </c>
    </row>
    <row r="14" spans="1:2" ht="44.45" customHeight="1" x14ac:dyDescent="0.25">
      <c r="A14" s="60" t="s">
        <v>25</v>
      </c>
      <c r="B14" s="67">
        <f>+'1. Reconciliation'!C18</f>
        <v>-6016185.6600000001</v>
      </c>
    </row>
    <row r="15" spans="1:2" x14ac:dyDescent="0.25">
      <c r="A15" s="68" t="s">
        <v>135</v>
      </c>
      <c r="B15" s="69">
        <f>SUM(B10:B14)</f>
        <v>44887320.49000001</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136</v>
      </c>
    </row>
    <row r="3" spans="2:5" x14ac:dyDescent="0.25">
      <c r="B3" t="s">
        <v>137</v>
      </c>
      <c r="C3" t="s">
        <v>138</v>
      </c>
      <c r="D3" t="s">
        <v>114</v>
      </c>
      <c r="E3" t="s">
        <v>113</v>
      </c>
    </row>
    <row r="4" spans="2:5" x14ac:dyDescent="0.25">
      <c r="B4" s="16" t="s">
        <v>139</v>
      </c>
      <c r="C4" s="25">
        <v>180</v>
      </c>
      <c r="D4" s="25">
        <v>100</v>
      </c>
      <c r="E4" s="16" t="s">
        <v>140</v>
      </c>
    </row>
    <row r="5" spans="2:5" x14ac:dyDescent="0.25">
      <c r="B5" s="16" t="s">
        <v>141</v>
      </c>
      <c r="C5" s="25">
        <v>163</v>
      </c>
      <c r="D5" s="25">
        <v>100</v>
      </c>
      <c r="E5" s="25">
        <v>85</v>
      </c>
    </row>
    <row r="6" spans="2:5" x14ac:dyDescent="0.25">
      <c r="B6" s="16" t="s">
        <v>142</v>
      </c>
      <c r="C6" s="25">
        <v>186</v>
      </c>
      <c r="D6" s="25">
        <v>100</v>
      </c>
      <c r="E6" s="25">
        <v>58</v>
      </c>
    </row>
    <row r="7" spans="2:5" x14ac:dyDescent="0.25">
      <c r="B7" s="16" t="s">
        <v>143</v>
      </c>
      <c r="C7" s="25">
        <v>92</v>
      </c>
      <c r="D7" s="25">
        <v>100</v>
      </c>
      <c r="E7" s="25">
        <v>52</v>
      </c>
    </row>
    <row r="8" spans="2:5" x14ac:dyDescent="0.25">
      <c r="B8" s="16" t="s">
        <v>144</v>
      </c>
      <c r="C8" s="25">
        <v>166</v>
      </c>
      <c r="D8" s="25">
        <v>100</v>
      </c>
      <c r="E8" s="25">
        <v>76</v>
      </c>
    </row>
    <row r="9" spans="2:5" x14ac:dyDescent="0.25">
      <c r="B9" s="16" t="s">
        <v>145</v>
      </c>
      <c r="C9" s="25">
        <v>130</v>
      </c>
      <c r="D9" s="25">
        <v>100</v>
      </c>
      <c r="E9" s="25">
        <v>75</v>
      </c>
    </row>
    <row r="10" spans="2:5" x14ac:dyDescent="0.25">
      <c r="B10" s="16" t="s">
        <v>146</v>
      </c>
      <c r="C10" s="25">
        <v>160</v>
      </c>
      <c r="D10" s="25">
        <v>100</v>
      </c>
      <c r="E10" s="25">
        <v>79</v>
      </c>
    </row>
    <row r="11" spans="2:5" x14ac:dyDescent="0.25">
      <c r="B11" s="16" t="s">
        <v>147</v>
      </c>
      <c r="C11" s="25">
        <v>120</v>
      </c>
      <c r="D11" s="25">
        <v>100</v>
      </c>
      <c r="E11" s="25">
        <v>81</v>
      </c>
    </row>
    <row r="12" spans="2:5" x14ac:dyDescent="0.25">
      <c r="B12" s="16" t="s">
        <v>148</v>
      </c>
      <c r="C12" s="25">
        <v>160</v>
      </c>
      <c r="D12" s="25">
        <v>100</v>
      </c>
      <c r="E12" s="25">
        <v>72</v>
      </c>
    </row>
    <row r="13" spans="2:5" x14ac:dyDescent="0.25">
      <c r="B13" s="16" t="s">
        <v>149</v>
      </c>
      <c r="C13" s="25">
        <v>150</v>
      </c>
      <c r="D13" s="25">
        <v>100</v>
      </c>
      <c r="E13" s="16">
        <v>55</v>
      </c>
    </row>
    <row r="14" spans="2:5" x14ac:dyDescent="0.25">
      <c r="B14" s="16" t="s">
        <v>150</v>
      </c>
      <c r="C14" s="25">
        <v>264</v>
      </c>
      <c r="D14" s="25">
        <v>100</v>
      </c>
      <c r="E14" s="25">
        <v>44</v>
      </c>
    </row>
    <row r="15" spans="2:5" x14ac:dyDescent="0.25">
      <c r="B15" s="16" t="s">
        <v>151</v>
      </c>
      <c r="C15" s="25">
        <v>178</v>
      </c>
      <c r="D15" s="25">
        <v>100</v>
      </c>
      <c r="E15" s="25">
        <v>108</v>
      </c>
    </row>
    <row r="16" spans="2:5" x14ac:dyDescent="0.25">
      <c r="B16" s="16" t="s">
        <v>152</v>
      </c>
      <c r="C16" s="25">
        <v>185</v>
      </c>
      <c r="D16" s="25">
        <v>100</v>
      </c>
      <c r="E16" s="25">
        <v>89</v>
      </c>
    </row>
    <row r="17" spans="2:5" x14ac:dyDescent="0.25">
      <c r="B17" s="16" t="s">
        <v>153</v>
      </c>
      <c r="C17" s="25">
        <v>228</v>
      </c>
      <c r="D17" s="25">
        <v>100</v>
      </c>
      <c r="E17" s="25">
        <v>76</v>
      </c>
    </row>
  </sheetData>
  <sortState xmlns:xlrd2="http://schemas.microsoft.com/office/spreadsheetml/2017/richdata2"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3.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8dbc17e-cec9-4211-a89f-0bf74a616302"/>
    <ds:schemaRef ds:uri="2819d22d-c924-42b3-954a-d3b43813cc6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Sue Senecal</cp:lastModifiedBy>
  <cp:revision/>
  <cp:lastPrinted>2022-06-09T12:41:26Z</cp:lastPrinted>
  <dcterms:created xsi:type="dcterms:W3CDTF">2020-01-09T18:52:12Z</dcterms:created>
  <dcterms:modified xsi:type="dcterms:W3CDTF">2022-06-30T19:08:16Z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