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172.16.4.26\finser\ACCOUNTING\BUDGET\FY23\SH\Budget Guidance\GMCB Workbooks\"/>
    </mc:Choice>
  </mc:AlternateContent>
  <xr:revisionPtr revIDLastSave="0" documentId="14_{95EC94A0-4AF5-44CA-9E8B-C0D7914E8544}" xr6:coauthVersionLast="47" xr6:coauthVersionMax="47" xr10:uidLastSave="{00000000-0000-0000-0000-000000000000}"/>
  <bookViews>
    <workbookView xWindow="-110" yWindow="610" windowWidth="19420" windowHeight="9700" tabRatio="800" activeTab="1" xr2:uid="{EDA287F5-79D0-4FF5-98F1-6BE045AC2F7D}"/>
  </bookViews>
  <sheets>
    <sheet name="Overview" sheetId="17" r:id="rId1"/>
    <sheet name="1. Reconciliation" sheetId="15" r:id="rId2"/>
    <sheet name="2. Charge and NPR Detail" sheetId="13" r:id="rId3"/>
    <sheet name="3. Utilization" sheetId="7" r:id="rId4"/>
    <sheet name="4. Inflation" sheetId="16" r:id="rId5"/>
    <sheet name="5. Value Based Care Participati" sheetId="8" r:id="rId6"/>
    <sheet name="6. COVID-19 Advances, Relief Fu" sheetId="20" r:id="rId7"/>
    <sheet name="Edit of Request Summary" sheetId="4"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Reconciliation'!$B$6:$O$110</definedName>
    <definedName name="_xlnm.Print_Area" localSheetId="2">'2. Charge and NPR Detail'!$A$2:$H$70</definedName>
    <definedName name="_xlnm.Print_Area" localSheetId="3">'3. Utilization'!$B$1:$D$24</definedName>
    <definedName name="_xlnm.Print_Area" localSheetId="4">'4. Inflation'!$B$1:$D$21</definedName>
    <definedName name="_xlnm.Print_Area" localSheetId="5">'5. Value Based Care Participati'!$B$2:$F$17</definedName>
    <definedName name="_xlnm.Print_Area" localSheetId="0">Overview!$A$1:$B$11</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9" i="13" l="1"/>
  <c r="H58" i="13"/>
  <c r="H57" i="13"/>
  <c r="F60" i="13"/>
  <c r="E53" i="13"/>
  <c r="D53" i="13" s="1"/>
  <c r="E54" i="13"/>
  <c r="D54" i="13" s="1"/>
  <c r="E52" i="13"/>
  <c r="D52" i="13" s="1"/>
  <c r="E42" i="13"/>
  <c r="E43" i="13"/>
  <c r="E41" i="13"/>
  <c r="D59" i="13"/>
  <c r="D58" i="13"/>
  <c r="D57" i="13"/>
  <c r="D61" i="15"/>
  <c r="C61" i="15" s="1"/>
  <c r="C62" i="15"/>
  <c r="C63" i="15"/>
  <c r="C64" i="15"/>
  <c r="C65" i="15"/>
  <c r="C66" i="15"/>
  <c r="C67" i="15"/>
  <c r="C68" i="15"/>
  <c r="C69" i="15"/>
  <c r="C70" i="15"/>
  <c r="C19" i="15"/>
  <c r="E75" i="15"/>
  <c r="F75" i="15"/>
  <c r="G75" i="15"/>
  <c r="C71" i="15" l="1"/>
  <c r="E26" i="15"/>
  <c r="F26" i="15"/>
  <c r="G26" i="15"/>
  <c r="H26" i="15"/>
  <c r="D26" i="15"/>
  <c r="E25" i="15"/>
  <c r="F25" i="15"/>
  <c r="G25" i="15"/>
  <c r="H25" i="15"/>
  <c r="D25" i="15"/>
  <c r="D14" i="15"/>
  <c r="F14" i="15"/>
  <c r="F22" i="15"/>
  <c r="C22" i="15"/>
  <c r="C20" i="20"/>
  <c r="C19" i="20"/>
  <c r="D15" i="20"/>
  <c r="C15" i="20" s="1"/>
  <c r="G85" i="13" l="1"/>
  <c r="C18" i="20" l="1"/>
  <c r="H13" i="20"/>
  <c r="C17" i="20" l="1"/>
  <c r="C11" i="7" l="1"/>
  <c r="C12" i="7"/>
  <c r="C13" i="7"/>
  <c r="C14" i="7"/>
  <c r="C15" i="7"/>
  <c r="C16" i="7"/>
  <c r="C17" i="7"/>
  <c r="C18" i="7"/>
  <c r="C19" i="7"/>
  <c r="C20" i="7"/>
  <c r="C21" i="7"/>
  <c r="C22" i="7"/>
  <c r="C10" i="7"/>
  <c r="K15" i="13" l="1"/>
  <c r="H72" i="15"/>
  <c r="H74" i="15" s="1"/>
  <c r="H75" i="15" s="1"/>
  <c r="G61" i="15"/>
  <c r="G72" i="15" s="1"/>
  <c r="G74" i="15" s="1"/>
  <c r="F61" i="15"/>
  <c r="F72" i="15" s="1"/>
  <c r="F74" i="15" s="1"/>
  <c r="E61" i="15"/>
  <c r="E72" i="15" s="1"/>
  <c r="E74" i="15" s="1"/>
  <c r="D72" i="15"/>
  <c r="D74" i="15" s="1"/>
  <c r="D75" i="15" s="1"/>
  <c r="C60" i="15"/>
  <c r="H23" i="15"/>
  <c r="E23" i="15"/>
  <c r="D23" i="15"/>
  <c r="C21" i="15"/>
  <c r="C20" i="15"/>
  <c r="C18" i="15"/>
  <c r="C17" i="15"/>
  <c r="C16" i="15"/>
  <c r="C15" i="15"/>
  <c r="C14" i="15"/>
  <c r="C13" i="15"/>
  <c r="G12" i="15"/>
  <c r="G23" i="15" s="1"/>
  <c r="F12" i="15"/>
  <c r="F23" i="15" s="1"/>
  <c r="E12" i="15"/>
  <c r="D12" i="15"/>
  <c r="C12" i="15" s="1"/>
  <c r="C23" i="15" s="1"/>
  <c r="C25" i="15" s="1"/>
  <c r="C26" i="15" s="1"/>
  <c r="C11" i="15"/>
  <c r="C72" i="15" l="1"/>
  <c r="C74" i="15" l="1"/>
  <c r="C75" i="15" s="1"/>
  <c r="D14" i="16"/>
  <c r="J60" i="13"/>
  <c r="I60" i="13"/>
  <c r="H60" i="13"/>
  <c r="G60" i="13"/>
  <c r="E60" i="13"/>
  <c r="D60" i="13"/>
  <c r="C60" i="13"/>
  <c r="J45" i="13"/>
  <c r="I45" i="13"/>
  <c r="H45" i="13"/>
  <c r="G45" i="13"/>
  <c r="F45" i="13"/>
  <c r="D11" i="16" l="1"/>
  <c r="C26" i="7" l="1"/>
  <c r="D25" i="7"/>
  <c r="D15" i="7"/>
  <c r="C12" i="20" l="1"/>
  <c r="G35" i="15"/>
  <c r="F35" i="15"/>
  <c r="C80" i="15"/>
  <c r="D8" i="16"/>
  <c r="D12" i="16"/>
  <c r="D19" i="16"/>
  <c r="D10" i="16"/>
  <c r="D9" i="16"/>
  <c r="C23" i="7"/>
  <c r="D21" i="16" l="1"/>
  <c r="D22" i="16" s="1"/>
  <c r="D15" i="16" s="1"/>
  <c r="D16" i="16" s="1"/>
  <c r="C13" i="20"/>
  <c r="C14" i="20"/>
  <c r="C16" i="20"/>
  <c r="C21" i="20"/>
  <c r="E22" i="20"/>
  <c r="F22" i="20"/>
  <c r="D22" i="20"/>
  <c r="E35" i="13"/>
  <c r="C35" i="13"/>
  <c r="E25" i="13"/>
  <c r="C25" i="13"/>
  <c r="E15" i="16" l="1"/>
  <c r="F15" i="16" s="1"/>
  <c r="E14" i="16"/>
  <c r="F14" i="16" s="1"/>
  <c r="E15" i="13"/>
  <c r="K14" i="13" s="1"/>
  <c r="F7" i="16"/>
  <c r="B10" i="4"/>
  <c r="B14" i="4"/>
  <c r="B13" i="4"/>
  <c r="B12" i="4"/>
  <c r="B11" i="4"/>
  <c r="K22" i="20"/>
  <c r="J22" i="20"/>
  <c r="G22" i="20"/>
  <c r="H22" i="20"/>
  <c r="I22" i="20"/>
  <c r="D41" i="13"/>
  <c r="D70" i="13"/>
  <c r="C70" i="13"/>
  <c r="C15" i="13"/>
  <c r="H70" i="13"/>
  <c r="G70" i="13"/>
  <c r="F70" i="13"/>
  <c r="E69" i="13"/>
  <c r="E68" i="13"/>
  <c r="E67" i="13"/>
  <c r="E66" i="13"/>
  <c r="E65" i="13"/>
  <c r="C45" i="13"/>
  <c r="E44" i="13"/>
  <c r="E45" i="13" s="1"/>
  <c r="D43" i="13"/>
  <c r="D42" i="13"/>
  <c r="E13" i="16" l="1"/>
  <c r="F13" i="16" s="1"/>
  <c r="E11" i="16"/>
  <c r="F11" i="16" s="1"/>
  <c r="E9" i="16"/>
  <c r="F9" i="16" s="1"/>
  <c r="E10" i="16"/>
  <c r="F10" i="16" s="1"/>
  <c r="E12" i="16"/>
  <c r="F12" i="16" s="1"/>
  <c r="E8" i="16"/>
  <c r="D45" i="13"/>
  <c r="C74" i="13"/>
  <c r="C22" i="20"/>
  <c r="D74" i="13"/>
  <c r="E70" i="13"/>
  <c r="F74" i="13" s="1"/>
  <c r="D23" i="7"/>
  <c r="C75" i="13"/>
  <c r="E16" i="16" l="1"/>
  <c r="F8" i="16"/>
  <c r="F16" i="16" s="1"/>
  <c r="C76" i="13"/>
  <c r="E74" i="13"/>
  <c r="B15" i="4"/>
  <c r="F75" i="13" l="1"/>
  <c r="F76" i="13" s="1"/>
  <c r="B7" i="4"/>
  <c r="B5" i="4"/>
  <c r="D75" i="13" l="1"/>
  <c r="D76" i="13" s="1"/>
  <c r="B6" i="4" l="1"/>
  <c r="E75" i="13"/>
  <c r="E76" i="13" s="1"/>
  <c r="C31" i="15" l="1"/>
  <c r="D85" i="15" s="1"/>
  <c r="D32" i="15"/>
  <c r="D45" i="15"/>
  <c r="D44" i="15"/>
  <c r="D104" i="15"/>
  <c r="D42" i="15"/>
  <c r="D47" i="15"/>
  <c r="D81" i="15"/>
  <c r="D82" i="15"/>
  <c r="D39" i="15"/>
  <c r="D33" i="15"/>
  <c r="D41" i="15"/>
  <c r="D93" i="15" l="1"/>
  <c r="D36" i="15"/>
  <c r="D103" i="15"/>
  <c r="D102" i="15"/>
  <c r="D91" i="15"/>
  <c r="D88" i="15"/>
  <c r="D94" i="15"/>
  <c r="D100" i="15"/>
  <c r="D101" i="15"/>
  <c r="D98" i="15"/>
  <c r="D99" i="15"/>
  <c r="D97" i="15"/>
  <c r="D34" i="15"/>
  <c r="D83" i="15"/>
  <c r="D96" i="15"/>
  <c r="D35" i="15"/>
  <c r="D90" i="15"/>
  <c r="D43" i="15" l="1"/>
  <c r="D38" i="15"/>
  <c r="D92" i="15"/>
  <c r="D95" i="15"/>
  <c r="D87" i="15"/>
  <c r="D86" i="15" l="1"/>
  <c r="D46" i="15"/>
  <c r="D37" i="15"/>
  <c r="D84" i="15" l="1"/>
  <c r="E105" i="15" l="1"/>
  <c r="D89" i="15" l="1"/>
  <c r="D105" i="15" s="1"/>
  <c r="C105" i="15"/>
  <c r="F105" i="15" l="1"/>
  <c r="C107" i="15"/>
  <c r="C108" i="15" s="1"/>
  <c r="D40" i="15"/>
  <c r="D48" i="15" s="1"/>
  <c r="C48" i="15"/>
  <c r="C50" i="15" l="1"/>
  <c r="C51" i="15" s="1"/>
  <c r="F11" i="13" l="1"/>
  <c r="F12" i="13" s="1"/>
  <c r="F13" i="13" s="1"/>
  <c r="F15"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Kayda Wescott</author>
  </authors>
  <commentList>
    <comment ref="C45" authorId="0" shapeId="0" xr:uid="{460E19F1-3496-448D-8806-B5F4096AFEDF}">
      <text>
        <r>
          <rPr>
            <b/>
            <sz val="9"/>
            <color indexed="81"/>
            <rFont val="Tahoma"/>
            <family val="2"/>
          </rPr>
          <t>Equipment, Maint &amp; Repairs</t>
        </r>
        <r>
          <rPr>
            <sz val="9"/>
            <color indexed="81"/>
            <rFont val="Tahoma"/>
            <family val="2"/>
          </rPr>
          <t xml:space="preserve">
</t>
        </r>
      </text>
    </comment>
    <comment ref="C46" authorId="0" shapeId="0" xr:uid="{F11B91CF-7376-4A7E-8AC7-772FA5932190}">
      <text>
        <r>
          <rPr>
            <sz val="9"/>
            <color indexed="81"/>
            <rFont val="Tahoma"/>
            <family val="2"/>
          </rPr>
          <t xml:space="preserve">incl non provider mgmt &amp; contr svcs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Kayda Wescott</author>
  </authors>
  <commentList>
    <comment ref="D17" authorId="0" shapeId="0" xr:uid="{2939559C-DA61-41B2-8527-6C706FA1FCD1}">
      <text>
        <r>
          <rPr>
            <b/>
            <sz val="9"/>
            <color indexed="81"/>
            <rFont val="Tahoma"/>
            <family val="2"/>
          </rPr>
          <t>rec'd in FY20</t>
        </r>
      </text>
    </comment>
  </commentList>
</comments>
</file>

<file path=xl/sharedStrings.xml><?xml version="1.0" encoding="utf-8"?>
<sst xmlns="http://schemas.openxmlformats.org/spreadsheetml/2006/main" count="393" uniqueCount="270">
  <si>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</si>
  <si>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</si>
  <si>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</si>
  <si>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</si>
  <si>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</si>
  <si>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</si>
  <si>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</si>
  <si>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</si>
  <si>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</si>
  <si>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</si>
  <si>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</si>
  <si>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</si>
  <si>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</si>
  <si>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</si>
  <si>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</si>
  <si>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</si>
  <si>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</si>
  <si>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</si>
  <si>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</si>
  <si>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Rate Effect</t>
  </si>
  <si>
    <t>Disproportionate Share Payments (DSH)</t>
  </si>
  <si>
    <t>Utilization (not factoring in change in charge request)</t>
  </si>
  <si>
    <t>Fixed Prospective Payments</t>
  </si>
  <si>
    <t>Provider Acquisitions/Transfers</t>
  </si>
  <si>
    <t>Changes in Accounting</t>
  </si>
  <si>
    <t>Reimbursement/Payer Mix</t>
  </si>
  <si>
    <t>Bad Debt/Free Care</t>
  </si>
  <si>
    <t>Other (specify)</t>
  </si>
  <si>
    <t>Expenses</t>
  </si>
  <si>
    <t>Amount</t>
  </si>
  <si>
    <t>% over/under</t>
  </si>
  <si>
    <t>New Positions</t>
  </si>
  <si>
    <t>Inflation Increases</t>
  </si>
  <si>
    <t>Fringe</t>
  </si>
  <si>
    <t>Travelers (nurses)</t>
  </si>
  <si>
    <t>Drugs</t>
  </si>
  <si>
    <t>Health Care Provider Tax</t>
  </si>
  <si>
    <t>Cost Savings</t>
  </si>
  <si>
    <t>Other (specify, add additional rows as necessary)</t>
  </si>
  <si>
    <t>Projection-to-Budget</t>
  </si>
  <si>
    <t>Projection derived as of:</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</si>
  <si>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</si>
  <si>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</si>
  <si>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</si>
  <si>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</si>
  <si>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</si>
  <si>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</si>
  <si>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</si>
  <si>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</si>
  <si>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</si>
  <si>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</si>
  <si>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</si>
  <si>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</si>
  <si>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</si>
  <si>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</si>
  <si>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</si>
  <si>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</si>
  <si>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</si>
  <si>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</si>
  <si>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</si>
  <si>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</si>
  <si>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</si>
  <si>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</si>
  <si>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</si>
  <si>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</si>
  <si>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</si>
  <si>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</si>
  <si>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</si>
  <si>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</si>
  <si>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</si>
  <si>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</si>
  <si>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</si>
  <si>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</si>
  <si>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</si>
  <si>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</si>
  <si>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</si>
  <si>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</si>
  <si>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</si>
  <si>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</si>
  <si>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</si>
  <si>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</si>
  <si>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</si>
  <si>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</si>
  <si>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</si>
  <si>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</si>
  <si>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</si>
  <si>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</si>
  <si>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</si>
  <si>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</si>
  <si>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</si>
  <si>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</si>
  <si>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</si>
  <si>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</si>
  <si>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</si>
  <si>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</si>
  <si>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</si>
  <si>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Weighted Average 
(Column C * Column E)</t>
  </si>
  <si>
    <t>Example: Wages/Compensation- Medical Staff</t>
  </si>
  <si>
    <t>This is inflation price effect only, does not account for new hires (volume).</t>
  </si>
  <si>
    <t>Wages/Compensation - Non-Medical Staff</t>
  </si>
  <si>
    <t>Medical Supplies</t>
  </si>
  <si>
    <t>Non-Medical Supplies</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</si>
  <si>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</si>
  <si>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</si>
  <si>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</si>
  <si>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</si>
  <si>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</si>
  <si>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</si>
  <si>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</si>
  <si>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</si>
  <si>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</si>
  <si>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</si>
  <si>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</si>
  <si>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</si>
  <si>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</si>
  <si>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Appendix 7</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</si>
  <si>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</si>
  <si>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</si>
  <si>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</si>
  <si>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</si>
  <si>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</si>
  <si>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</si>
  <si>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</si>
  <si>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</si>
  <si>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</si>
  <si>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</si>
  <si>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</si>
  <si>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</si>
  <si>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</si>
  <si>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</si>
  <si>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</si>
  <si>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</si>
  <si>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</si>
  <si>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</si>
  <si>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</si>
  <si>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</si>
  <si>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</si>
  <si>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</si>
  <si>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</si>
  <si>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</si>
  <si>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</si>
  <si>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</si>
  <si>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</si>
  <si>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</si>
  <si>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</si>
  <si>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</si>
  <si>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</si>
  <si>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</si>
  <si>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</si>
  <si>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</si>
  <si>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</si>
  <si>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</si>
  <si>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</si>
  <si>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</si>
  <si>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</si>
  <si>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</si>
  <si>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</si>
  <si>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</si>
  <si>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</si>
  <si>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</si>
  <si>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</si>
  <si>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</si>
  <si>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</si>
  <si>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</si>
  <si>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</si>
  <si>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</si>
  <si>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</si>
  <si>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</si>
  <si>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</si>
  <si>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</si>
  <si>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</si>
  <si>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</si>
  <si>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</si>
  <si>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</si>
  <si>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</si>
  <si>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</si>
  <si>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t>Inflation Increases (from Appendix 4. Inflation Price Effect Only)</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</si>
  <si>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</si>
  <si>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</si>
  <si>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Supplies</t>
  </si>
  <si>
    <t>Physician Transfer</t>
  </si>
  <si>
    <t>Equipment / Software / Other  Maintenance</t>
  </si>
  <si>
    <t>Purchased Services</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</si>
  <si>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</si>
  <si>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</si>
  <si>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</si>
  <si>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</si>
  <si>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</si>
  <si>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</si>
  <si>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</si>
  <si>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</si>
  <si>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</si>
  <si>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</si>
  <si>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</si>
  <si>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</si>
  <si>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</si>
  <si>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</si>
  <si>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</si>
  <si>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</si>
  <si>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</si>
  <si>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</si>
  <si>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</si>
  <si>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</si>
  <si>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</si>
  <si>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</si>
  <si>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</si>
  <si>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EXAMPLE:</t>
  </si>
  <si>
    <t>**Column E should equal 100%</t>
  </si>
  <si>
    <t>Appendix 5: Value-Based Care Participation</t>
  </si>
  <si>
    <t>Appendix 6: COVID-19 Advances, Relief Funds, and Other Grants</t>
  </si>
  <si>
    <t>Category % of Total Operating Expense Budget</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</si>
  <si>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r>
      <rPr>
        <b/>
        <sz val="11"/>
        <color theme="1"/>
        <rFont val="Calibri"/>
        <family val="2"/>
        <scheme val="minor"/>
      </rPr>
      <t>TOTAL of D16 ($ Increase) will populate C33 of Table 2 on the Reconciliation tab with inflation expenses.</t>
    </r>
  </si>
  <si>
    <r>
      <t xml:space="preserve">NOTE: Unless the tax rate has changed, </t>
    </r>
    <r>
      <rPr>
        <u/>
        <sz val="11"/>
        <color theme="1"/>
        <rFont val="Calibri"/>
        <family val="2"/>
      </rPr>
      <t>DO NOT INCLUDE</t>
    </r>
    <r>
      <rPr>
        <sz val="11"/>
        <color theme="1"/>
        <rFont val="Calibri"/>
        <family val="2"/>
      </rPr>
      <t xml:space="preserve"> Provider Tax.</t>
    </r>
  </si>
  <si>
    <r>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r>
    <r>
      <rPr>
        <u/>
        <sz val="11"/>
        <color theme="1"/>
        <rFont val="Calibri"/>
        <family val="2"/>
      </rPr>
      <t>without</t>
    </r>
    <r>
      <rPr>
        <sz val="11"/>
        <color theme="1"/>
        <rFont val="Calibri"/>
        <family val="2"/>
      </rPr>
      <t xml:space="preserve"> the request Rate change. </t>
    </r>
  </si>
  <si>
    <t>FY2023 Budget Reporting Requirements</t>
  </si>
  <si>
    <t>FY22 Budget NPR/FPP</t>
  </si>
  <si>
    <t>No</t>
  </si>
  <si>
    <t>n/a</t>
  </si>
  <si>
    <t>Yes</t>
  </si>
  <si>
    <t>Charity Care</t>
  </si>
  <si>
    <t>Bad Debt</t>
  </si>
  <si>
    <t>Surgeries</t>
  </si>
  <si>
    <t>Emergency Dept</t>
  </si>
  <si>
    <t>Lab</t>
  </si>
  <si>
    <t>Other Purchased Services</t>
  </si>
  <si>
    <t>Utilities</t>
  </si>
  <si>
    <t>Inflation included in increases below</t>
  </si>
  <si>
    <t>Salaries -Staff</t>
  </si>
  <si>
    <t>Salaries-Providers</t>
  </si>
  <si>
    <t>Locum tenans (MDs)/Contracted Physicians</t>
  </si>
  <si>
    <t>USDA Emergency Rural Health Care</t>
  </si>
  <si>
    <t>American Rescue Plan Act</t>
  </si>
  <si>
    <t>Radiology excluding Nuclear Med</t>
  </si>
  <si>
    <t>Nuclear Med</t>
  </si>
  <si>
    <t>Inpatient Psych</t>
  </si>
  <si>
    <t>Clinic plus Chemotherapy Drugs</t>
  </si>
  <si>
    <t>Prof Svcs - General Surgery</t>
  </si>
  <si>
    <t>Prof Svcs - Podiatry (new service FY22)</t>
  </si>
  <si>
    <t>Physical Therapy</t>
  </si>
  <si>
    <t>All Others</t>
  </si>
  <si>
    <t>Pain Management (new for FY23)</t>
  </si>
  <si>
    <t>Inpatient  Acute</t>
  </si>
  <si>
    <t>Gross Revenues higher in FY22 actual vs. FY22 bud on a per day basis</t>
  </si>
  <si>
    <t>Recruiting and Advertising</t>
  </si>
  <si>
    <t>All Other</t>
  </si>
  <si>
    <t>not sure of this column is calculated how intended</t>
  </si>
  <si>
    <t>Management &amp; Contract Services</t>
  </si>
  <si>
    <t>2% COLA December 2022 and Market Adjustments (see Narrative)</t>
  </si>
  <si>
    <t>Other Non Medical Supplies</t>
  </si>
  <si>
    <t>Staff Education and Training</t>
  </si>
  <si>
    <t>Minor Equipment</t>
  </si>
  <si>
    <t>Food</t>
  </si>
  <si>
    <t>Dues &amp; Subscriptions</t>
  </si>
  <si>
    <t>Interest</t>
  </si>
  <si>
    <t>Depreciation</t>
  </si>
  <si>
    <t>incl In Phys Fees</t>
  </si>
  <si>
    <t>incl in Phys Fees/Management &amp; Contract Svcs</t>
  </si>
  <si>
    <t>*</t>
  </si>
  <si>
    <t xml:space="preserve">all commercial reported in In-State, system does not allow us to easily extract </t>
  </si>
  <si>
    <t>IP Psych Unit State Funds (VT DMH) - Operating</t>
  </si>
  <si>
    <t>COVID-19 Cornovirus Relief Funds (Adult Day)</t>
  </si>
  <si>
    <t>Small Rural Health Improvement Grant</t>
  </si>
  <si>
    <t>Misc. Grants Anticipated for FY23</t>
  </si>
  <si>
    <t>Projected</t>
  </si>
  <si>
    <t>50600.002/10270.000</t>
  </si>
  <si>
    <t>COVID-19 Provider Relief Phase 4</t>
  </si>
  <si>
    <t>FY 2023 Proposed Budget not including rate increase</t>
  </si>
  <si>
    <t>IP Psych Unit State Funds (VT DMH) - Construction</t>
  </si>
  <si>
    <t>FY23 Budget</t>
  </si>
  <si>
    <t>Reclassify FY22 Medicare Advantage NPR  from Commercial to Medicare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</si>
</sst>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3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sz val="20"/>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
      <u/>
      <sz val="11"/>
      <color theme="1"/>
      <name val="Calibri"/>
      <family val="2"/>
    </font>
    <font>
      <sz val="9"/>
      <color indexed="81"/>
      <name val="Tahoma"/>
      <family val="2"/>
    </font>
    <font>
      <b/>
      <sz val="9"/>
      <color indexed="81"/>
      <name val="Tahoma"/>
      <family val="2"/>
    </font>
    <font>
      <sz val="11"/>
      <color rgb="FFFF0000"/>
      <name val="Calibri"/>
      <family val="2"/>
      <scheme val="minor"/>
    </font>
    <font>
      <sz val="14"/>
      <color rgb="FFFF0000"/>
      <name val="Calibri"/>
      <family val="2"/>
      <scheme val="minor"/>
    </font>
    <font>
      <sz val="11"/>
      <color rgb="FF0070C0"/>
      <name val="Calibri"/>
      <family val="2"/>
    </font>
    <font>
      <b/>
      <sz val="11"/>
      <color rgb="FF0070C0"/>
      <name val="Calibri"/>
      <family val="2"/>
    </font>
    <font>
      <b/>
      <sz val="14"/>
      <color rgb="FF0000FF"/>
      <name val="Calibri"/>
      <family val="2"/>
      <scheme val="minor"/>
    </font>
    <font>
      <sz val="11"/>
      <name val="Calibri"/>
      <family val="2"/>
      <scheme val="minor"/>
    </font>
    <font>
      <b/>
      <sz val="11"/>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
      <patternFill patternType="solid">
        <fgColor rgb="FFFFC00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67">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8" xfId="5" applyFont="1" applyBorder="1"/>
    <xf numFmtId="0" fontId="8" fillId="0" borderId="11" xfId="5" applyFont="1" applyBorder="1"/>
    <xf numFmtId="0" fontId="8" fillId="0" borderId="12" xfId="5" applyFont="1" applyBorder="1"/>
    <xf numFmtId="0" fontId="8" fillId="0" borderId="13" xfId="5" applyFont="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9" fontId="4" fillId="0" borderId="0" xfId="3" applyFont="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0" fillId="3" borderId="4" xfId="3" applyNumberFormat="1" applyFont="1" applyFill="1" applyBorder="1"/>
    <xf numFmtId="164" fontId="20"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44" fontId="4" fillId="11" borderId="30" xfId="2" applyFont="1" applyFill="1" applyBorder="1"/>
    <xf numFmtId="44" fontId="4" fillId="11" borderId="14" xfId="2" applyFont="1" applyFill="1" applyBorder="1"/>
    <xf numFmtId="44" fontId="4" fillId="11" borderId="31" xfId="2"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4" fillId="14" borderId="29" xfId="2" applyFont="1" applyFill="1" applyBorder="1" applyAlignment="1">
      <alignment horizontal="center" wrapText="1"/>
    </xf>
    <xf numFmtId="44" fontId="0" fillId="0" borderId="4" xfId="2" applyFont="1" applyBorder="1" applyAlignment="1">
      <alignment horizontal="center" wrapText="1"/>
    </xf>
    <xf numFmtId="0" fontId="21" fillId="15" borderId="4" xfId="0" applyFont="1" applyFill="1" applyBorder="1" applyAlignment="1">
      <alignment wrapText="1"/>
    </xf>
    <xf numFmtId="9" fontId="21" fillId="15" borderId="4" xfId="3" applyFont="1" applyFill="1" applyBorder="1" applyAlignment="1">
      <alignment horizontal="center"/>
    </xf>
    <xf numFmtId="44" fontId="21" fillId="15" borderId="4" xfId="2" applyFont="1" applyFill="1" applyBorder="1" applyAlignment="1">
      <alignment horizontal="center"/>
    </xf>
    <xf numFmtId="9" fontId="21" fillId="15" borderId="4" xfId="3" applyFont="1" applyFill="1" applyBorder="1" applyAlignment="1">
      <alignment horizontal="center" wrapText="1"/>
    </xf>
    <xf numFmtId="164" fontId="21" fillId="15" borderId="4" xfId="3" applyNumberFormat="1" applyFont="1" applyFill="1" applyBorder="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166" fontId="0" fillId="2" borderId="4" xfId="1" applyNumberFormat="1" applyFont="1" applyFill="1" applyBorder="1" applyProtection="1"/>
    <xf numFmtId="9" fontId="4" fillId="6" borderId="4" xfId="3" applyFont="1" applyFill="1" applyBorder="1"/>
    <xf numFmtId="0" fontId="5" fillId="0" borderId="1" xfId="5" applyFont="1" applyBorder="1" applyAlignment="1">
      <alignment horizontal="center" wrapText="1"/>
    </xf>
    <xf numFmtId="0" fontId="0" fillId="9" borderId="0" xfId="0" applyFill="1" applyAlignment="1">
      <alignment horizontal="center"/>
    </xf>
    <xf numFmtId="0" fontId="21" fillId="0" borderId="4" xfId="0" applyFont="1" applyBorder="1" applyAlignment="1">
      <alignment horizontal="right"/>
    </xf>
    <xf numFmtId="9" fontId="2" fillId="0" borderId="0" xfId="3" applyFont="1" applyFill="1" applyBorder="1"/>
    <xf numFmtId="0" fontId="0" fillId="0" borderId="0" xfId="0" applyFill="1" applyAlignment="1">
      <alignment horizontal="center"/>
    </xf>
    <xf numFmtId="9" fontId="0" fillId="0" borderId="0" xfId="3" applyFont="1" applyFill="1" applyBorder="1" applyAlignment="1">
      <alignment horizontal="center"/>
    </xf>
    <xf numFmtId="0" fontId="0" fillId="0" borderId="0" xfId="0" applyFill="1"/>
    <xf numFmtId="9" fontId="21" fillId="0" borderId="0" xfId="3" applyFont="1" applyFill="1" applyBorder="1" applyAlignment="1">
      <alignment horizontal="left"/>
    </xf>
    <xf numFmtId="0" fontId="5" fillId="0" borderId="4" xfId="8" applyFont="1" applyBorder="1" applyAlignment="1">
      <alignment horizontal="center"/>
    </xf>
    <xf numFmtId="9" fontId="24" fillId="3" borderId="4" xfId="3" applyFont="1" applyFill="1" applyBorder="1"/>
    <xf numFmtId="9" fontId="4" fillId="9" borderId="0" xfId="3" applyFont="1" applyFill="1" applyBorder="1"/>
    <xf numFmtId="0" fontId="8" fillId="4" borderId="9" xfId="5" applyFont="1" applyFill="1" applyBorder="1"/>
    <xf numFmtId="0" fontId="8" fillId="0" borderId="9" xfId="5" applyFont="1" applyBorder="1"/>
    <xf numFmtId="0" fontId="8" fillId="0" borderId="36" xfId="5" applyFont="1" applyBorder="1"/>
    <xf numFmtId="0" fontId="8" fillId="0" borderId="37" xfId="5" applyFont="1" applyBorder="1"/>
    <xf numFmtId="0" fontId="8" fillId="0" borderId="38" xfId="5" applyFont="1" applyBorder="1"/>
    <xf numFmtId="0" fontId="8" fillId="0" borderId="39" xfId="5" applyFont="1" applyBorder="1"/>
    <xf numFmtId="0" fontId="2" fillId="0" borderId="0" xfId="0" applyFont="1" applyFill="1" applyBorder="1" applyAlignment="1">
      <alignment horizontal="center"/>
    </xf>
    <xf numFmtId="165" fontId="1" fillId="0" borderId="0" xfId="0" applyNumberFormat="1" applyFont="1" applyFill="1" applyBorder="1"/>
    <xf numFmtId="165" fontId="1" fillId="0" borderId="15" xfId="0" applyNumberFormat="1" applyFont="1" applyFill="1" applyBorder="1"/>
    <xf numFmtId="165" fontId="1" fillId="0" borderId="17" xfId="0" applyNumberFormat="1" applyFont="1" applyFill="1" applyBorder="1"/>
    <xf numFmtId="44" fontId="1" fillId="0" borderId="23" xfId="2" applyFont="1" applyFill="1" applyBorder="1"/>
    <xf numFmtId="165" fontId="1" fillId="0" borderId="22" xfId="0" applyNumberFormat="1" applyFont="1" applyFill="1" applyBorder="1"/>
    <xf numFmtId="0" fontId="18" fillId="9" borderId="0" xfId="0" applyFont="1" applyFill="1"/>
    <xf numFmtId="0" fontId="8" fillId="0" borderId="0" xfId="0" applyFont="1" applyFill="1" applyAlignment="1">
      <alignment vertical="center"/>
    </xf>
    <xf numFmtId="164" fontId="0" fillId="3" borderId="4" xfId="2" applyNumberFormat="1" applyFont="1" applyFill="1" applyBorder="1" applyAlignment="1">
      <alignment horizontal="center"/>
    </xf>
    <xf numFmtId="9" fontId="0" fillId="3" borderId="4" xfId="2" applyNumberFormat="1" applyFont="1" applyFill="1" applyBorder="1" applyAlignment="1">
      <alignment horizontal="center"/>
    </xf>
    <xf numFmtId="166" fontId="4" fillId="0" borderId="4" xfId="1" applyNumberFormat="1" applyFont="1" applyFill="1" applyBorder="1"/>
    <xf numFmtId="166" fontId="5" fillId="0" borderId="4" xfId="1" applyNumberFormat="1" applyFont="1" applyBorder="1"/>
    <xf numFmtId="44" fontId="4" fillId="6" borderId="4" xfId="2" applyFont="1" applyFill="1" applyBorder="1"/>
    <xf numFmtId="0" fontId="4" fillId="0" borderId="0" xfId="5" applyAlignment="1">
      <alignment horizontal="right"/>
    </xf>
    <xf numFmtId="165" fontId="0" fillId="0" borderId="4" xfId="2" applyNumberFormat="1" applyFont="1" applyBorder="1" applyAlignment="1">
      <alignment horizontal="center"/>
    </xf>
    <xf numFmtId="42" fontId="0" fillId="0" borderId="0" xfId="0" applyNumberFormat="1"/>
    <xf numFmtId="166" fontId="0" fillId="0" borderId="4" xfId="1" applyNumberFormat="1" applyFont="1" applyBorder="1" applyAlignment="1">
      <alignment horizontal="center"/>
    </xf>
    <xf numFmtId="166" fontId="0" fillId="0" borderId="4" xfId="1" applyNumberFormat="1" applyFont="1" applyFill="1" applyBorder="1" applyAlignment="1">
      <alignment horizontal="center"/>
    </xf>
    <xf numFmtId="166" fontId="0" fillId="5" borderId="0" xfId="1" applyNumberFormat="1" applyFont="1" applyFill="1" applyBorder="1" applyAlignment="1">
      <alignment horizontal="center"/>
    </xf>
    <xf numFmtId="166" fontId="0" fillId="0" borderId="4" xfId="1" applyNumberFormat="1" applyFont="1" applyFill="1" applyBorder="1" applyProtection="1">
      <protection locked="0"/>
    </xf>
    <xf numFmtId="9" fontId="0" fillId="0" borderId="0" xfId="3" applyFont="1" applyFill="1" applyBorder="1" applyAlignment="1">
      <alignment horizontal="left"/>
    </xf>
    <xf numFmtId="43" fontId="0" fillId="0" borderId="0" xfId="1" applyFont="1" applyFill="1" applyBorder="1" applyAlignment="1">
      <alignment horizontal="center"/>
    </xf>
    <xf numFmtId="166" fontId="0" fillId="0" borderId="0" xfId="1" applyNumberFormat="1" applyFont="1" applyFill="1" applyBorder="1" applyAlignment="1">
      <alignment horizontal="center"/>
    </xf>
    <xf numFmtId="0" fontId="0" fillId="0" borderId="4" xfId="0" applyFill="1" applyBorder="1" applyAlignment="1">
      <alignment horizontal="right"/>
    </xf>
    <xf numFmtId="164" fontId="0" fillId="0" borderId="4" xfId="3" applyNumberFormat="1" applyFont="1" applyFill="1" applyBorder="1" applyAlignment="1">
      <alignment horizontal="center"/>
    </xf>
    <xf numFmtId="164" fontId="24" fillId="3" borderId="4" xfId="3" applyNumberFormat="1" applyFont="1" applyFill="1" applyBorder="1"/>
    <xf numFmtId="165" fontId="5" fillId="0" borderId="4" xfId="2" applyNumberFormat="1" applyFont="1" applyFill="1" applyBorder="1"/>
    <xf numFmtId="9" fontId="4" fillId="0" borderId="4" xfId="3" applyFont="1" applyFill="1" applyBorder="1"/>
    <xf numFmtId="9" fontId="5" fillId="5" borderId="0" xfId="3" applyFont="1" applyFill="1" applyBorder="1"/>
    <xf numFmtId="0" fontId="5" fillId="0" borderId="0" xfId="5" applyFont="1" applyBorder="1" applyAlignment="1">
      <alignment wrapText="1"/>
    </xf>
    <xf numFmtId="167" fontId="4" fillId="0" borderId="0" xfId="5" applyNumberFormat="1"/>
    <xf numFmtId="164" fontId="4" fillId="0" borderId="0" xfId="3" applyNumberFormat="1" applyFont="1"/>
    <xf numFmtId="166" fontId="4" fillId="0" borderId="0" xfId="1" applyNumberFormat="1" applyFont="1"/>
    <xf numFmtId="166" fontId="4" fillId="0" borderId="0" xfId="5" applyNumberFormat="1"/>
    <xf numFmtId="166" fontId="5" fillId="0" borderId="0" xfId="1" applyNumberFormat="1" applyFont="1"/>
    <xf numFmtId="166" fontId="5" fillId="6" borderId="4" xfId="1" applyNumberFormat="1" applyFont="1" applyFill="1" applyBorder="1"/>
    <xf numFmtId="166" fontId="4" fillId="6" borderId="4" xfId="1" applyNumberFormat="1" applyFont="1" applyFill="1" applyBorder="1"/>
    <xf numFmtId="166" fontId="4" fillId="5" borderId="0" xfId="1" applyNumberFormat="1" applyFont="1" applyFill="1" applyBorder="1"/>
    <xf numFmtId="166" fontId="5" fillId="12" borderId="4" xfId="1" applyNumberFormat="1" applyFont="1" applyFill="1" applyBorder="1"/>
    <xf numFmtId="9" fontId="5" fillId="6" borderId="4" xfId="3" applyFont="1" applyFill="1" applyBorder="1"/>
    <xf numFmtId="10" fontId="5" fillId="0" borderId="4" xfId="3" applyNumberFormat="1" applyFont="1" applyBorder="1"/>
    <xf numFmtId="166" fontId="5" fillId="0" borderId="4" xfId="3" applyNumberFormat="1" applyFont="1" applyBorder="1"/>
    <xf numFmtId="0" fontId="8" fillId="0" borderId="12" xfId="5" applyFont="1" applyFill="1" applyBorder="1"/>
    <xf numFmtId="0" fontId="8" fillId="0" borderId="6" xfId="5" applyFont="1" applyBorder="1" applyAlignment="1">
      <alignment horizontal="center" vertical="top" wrapText="1"/>
    </xf>
    <xf numFmtId="0" fontId="8" fillId="0" borderId="7" xfId="5" applyFont="1" applyBorder="1" applyAlignment="1">
      <alignment horizontal="center" vertical="top" wrapText="1"/>
    </xf>
    <xf numFmtId="0" fontId="8" fillId="0" borderId="9" xfId="5" applyFont="1" applyBorder="1" applyAlignment="1">
      <alignment horizontal="center" vertical="top"/>
    </xf>
    <xf numFmtId="0" fontId="8" fillId="0" borderId="10" xfId="5" applyFont="1" applyBorder="1" applyAlignment="1">
      <alignment horizontal="center" vertical="top"/>
    </xf>
    <xf numFmtId="0" fontId="0" fillId="0" borderId="15" xfId="0" applyBorder="1" applyAlignment="1">
      <alignment horizontal="center" vertical="center" wrapText="1"/>
    </xf>
    <xf numFmtId="166" fontId="0" fillId="3" borderId="4" xfId="1" applyNumberFormat="1" applyFont="1" applyFill="1" applyBorder="1" applyProtection="1">
      <protection locked="0"/>
    </xf>
    <xf numFmtId="166" fontId="0" fillId="0" borderId="4" xfId="1" quotePrefix="1" applyNumberFormat="1" applyFont="1" applyBorder="1" applyAlignment="1" applyProtection="1">
      <alignment horizontal="right"/>
      <protection locked="0"/>
    </xf>
    <xf numFmtId="0" fontId="0" fillId="0" borderId="4" xfId="0" applyBorder="1" applyAlignment="1">
      <alignment horizontal="left"/>
    </xf>
    <xf numFmtId="0" fontId="0" fillId="5" borderId="4" xfId="0" applyFill="1" applyBorder="1" applyAlignment="1">
      <alignment horizontal="left"/>
    </xf>
    <xf numFmtId="44" fontId="0" fillId="0" borderId="4" xfId="2" applyFont="1" applyFill="1" applyBorder="1" applyProtection="1">
      <protection locked="0"/>
    </xf>
    <xf numFmtId="9" fontId="0" fillId="0" borderId="4" xfId="3" applyFont="1" applyFill="1" applyBorder="1" applyAlignment="1">
      <alignment horizontal="center"/>
    </xf>
    <xf numFmtId="164" fontId="0" fillId="0" borderId="0" xfId="3" applyNumberFormat="1" applyFont="1" applyFill="1" applyAlignment="1">
      <alignment horizontal="center"/>
    </xf>
    <xf numFmtId="44" fontId="4" fillId="0" borderId="4" xfId="2" applyFont="1" applyFill="1" applyBorder="1"/>
    <xf numFmtId="166" fontId="4" fillId="0" borderId="4" xfId="1" applyNumberFormat="1" applyFont="1" applyBorder="1"/>
    <xf numFmtId="0" fontId="2" fillId="0" borderId="0" xfId="0" applyFont="1"/>
    <xf numFmtId="165" fontId="0" fillId="0" borderId="4" xfId="2" applyNumberFormat="1" applyFont="1" applyFill="1" applyBorder="1" applyAlignment="1">
      <alignment horizontal="center"/>
    </xf>
    <xf numFmtId="0" fontId="0" fillId="0" borderId="4" xfId="0" applyBorder="1" applyAlignment="1">
      <alignment wrapText="1"/>
    </xf>
    <xf numFmtId="0" fontId="8" fillId="0" borderId="11" xfId="5" applyFont="1" applyFill="1" applyBorder="1" applyAlignment="1">
      <alignment horizontal="left" indent="2"/>
    </xf>
    <xf numFmtId="0" fontId="8" fillId="0" borderId="5" xfId="5" applyFont="1" applyFill="1" applyBorder="1" applyAlignment="1">
      <alignment horizontal="left" indent="2"/>
    </xf>
    <xf numFmtId="164" fontId="0" fillId="5" borderId="4" xfId="3" applyNumberFormat="1" applyFont="1" applyFill="1" applyBorder="1"/>
    <xf numFmtId="0" fontId="0" fillId="0" borderId="4" xfId="0" applyFill="1" applyBorder="1" applyAlignment="1" applyProtection="1">
      <alignment horizontal="right"/>
      <protection locked="0"/>
    </xf>
    <xf numFmtId="0" fontId="6" fillId="0" borderId="0" xfId="0" applyFont="1" applyFill="1"/>
    <xf numFmtId="165" fontId="4" fillId="0" borderId="0" xfId="5" applyNumberFormat="1"/>
    <xf numFmtId="166" fontId="5" fillId="0" borderId="0" xfId="5" applyNumberFormat="1" applyFont="1" applyFill="1"/>
    <xf numFmtId="0" fontId="5" fillId="0" borderId="0" xfId="5" applyFont="1" applyFill="1"/>
    <xf numFmtId="165" fontId="30" fillId="0" borderId="0" xfId="2" applyNumberFormat="1" applyFont="1" applyFill="1"/>
    <xf numFmtId="0" fontId="30" fillId="0" borderId="0" xfId="5" applyFont="1" applyFill="1"/>
    <xf numFmtId="0" fontId="31" fillId="0" borderId="0" xfId="5" applyFont="1" applyFill="1"/>
    <xf numFmtId="165" fontId="20" fillId="0" borderId="4" xfId="2" applyNumberFormat="1" applyFont="1" applyFill="1" applyBorder="1"/>
    <xf numFmtId="0" fontId="5" fillId="0" borderId="4" xfId="5" applyFont="1" applyFill="1" applyBorder="1"/>
    <xf numFmtId="0" fontId="5" fillId="0" borderId="4" xfId="5" applyFont="1" applyFill="1" applyBorder="1" applyAlignment="1">
      <alignment horizontal="center" wrapText="1"/>
    </xf>
    <xf numFmtId="166" fontId="20" fillId="0" borderId="4" xfId="1" applyNumberFormat="1" applyFont="1" applyFill="1" applyBorder="1"/>
    <xf numFmtId="165" fontId="1" fillId="0" borderId="0" xfId="2" applyNumberFormat="1" applyFont="1" applyFill="1" applyBorder="1"/>
    <xf numFmtId="165" fontId="1" fillId="0" borderId="0" xfId="2" applyNumberFormat="1" applyFont="1" applyFill="1"/>
    <xf numFmtId="165" fontId="1" fillId="0" borderId="17" xfId="2" applyNumberFormat="1" applyFont="1" applyFill="1" applyBorder="1"/>
    <xf numFmtId="0" fontId="16" fillId="0" borderId="0" xfId="0" applyFont="1" applyFill="1"/>
    <xf numFmtId="165" fontId="2" fillId="0" borderId="22" xfId="0" applyNumberFormat="1" applyFont="1" applyFill="1" applyBorder="1"/>
    <xf numFmtId="0" fontId="32" fillId="0" borderId="0" xfId="5" applyFont="1" applyFill="1" applyBorder="1" applyAlignment="1">
      <alignment horizontal="center"/>
    </xf>
    <xf numFmtId="0" fontId="1" fillId="0" borderId="15" xfId="0" applyFont="1" applyFill="1" applyBorder="1"/>
    <xf numFmtId="0" fontId="5" fillId="6" borderId="4" xfId="5" applyFont="1" applyFill="1" applyBorder="1" applyAlignment="1">
      <alignment wrapText="1"/>
    </xf>
    <xf numFmtId="0" fontId="17" fillId="0" borderId="0" xfId="0" applyFont="1" applyFill="1" applyAlignment="1">
      <alignment horizontal="center"/>
    </xf>
    <xf numFmtId="0" fontId="2" fillId="0" borderId="3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8" xfId="0" applyFont="1" applyFill="1" applyBorder="1" applyAlignment="1">
      <alignment horizontal="center"/>
    </xf>
    <xf numFmtId="0" fontId="2" fillId="0" borderId="7" xfId="0" applyFont="1" applyFill="1" applyBorder="1" applyAlignment="1">
      <alignment horizontal="center"/>
    </xf>
    <xf numFmtId="0" fontId="2" fillId="0" borderId="18" xfId="0" applyFont="1" applyFill="1" applyBorder="1" applyAlignment="1">
      <alignment horizontal="center" vertical="center"/>
    </xf>
    <xf numFmtId="0" fontId="2" fillId="0" borderId="16" xfId="0" applyFont="1" applyFill="1" applyBorder="1" applyAlignment="1">
      <alignment horizontal="center" vertical="center"/>
    </xf>
    <xf numFmtId="165" fontId="1" fillId="0" borderId="0" xfId="0" applyNumberFormat="1" applyFont="1" applyFill="1"/>
    <xf numFmtId="0" fontId="17" fillId="0" borderId="0" xfId="0" applyFont="1" applyFill="1"/>
    <xf numFmtId="165" fontId="2" fillId="0" borderId="0" xfId="2" applyNumberFormat="1" applyFont="1" applyFill="1" applyBorder="1"/>
    <xf numFmtId="165" fontId="2" fillId="0" borderId="0" xfId="2" applyNumberFormat="1" applyFont="1" applyFill="1"/>
    <xf numFmtId="165" fontId="2" fillId="0" borderId="17" xfId="2" applyNumberFormat="1" applyFont="1" applyFill="1" applyBorder="1"/>
    <xf numFmtId="0" fontId="2" fillId="0" borderId="34" xfId="0" applyFont="1" applyFill="1" applyBorder="1" applyAlignment="1">
      <alignment horizontal="left" indent="3"/>
    </xf>
    <xf numFmtId="44" fontId="1" fillId="0" borderId="34" xfId="2" applyFont="1" applyFill="1" applyBorder="1"/>
    <xf numFmtId="44" fontId="1" fillId="0" borderId="32" xfId="2" applyFont="1" applyFill="1" applyBorder="1"/>
    <xf numFmtId="44" fontId="1" fillId="0" borderId="33" xfId="2" applyFont="1" applyFill="1" applyBorder="1"/>
    <xf numFmtId="0" fontId="33" fillId="0" borderId="15" xfId="0" applyFont="1" applyFill="1" applyBorder="1"/>
    <xf numFmtId="0" fontId="33" fillId="0" borderId="15" xfId="0" applyFont="1" applyFill="1" applyBorder="1" applyAlignment="1">
      <alignment wrapText="1"/>
    </xf>
    <xf numFmtId="0" fontId="34" fillId="0" borderId="15" xfId="0" applyFont="1" applyFill="1" applyBorder="1"/>
    <xf numFmtId="0" fontId="2" fillId="0" borderId="15" xfId="0" applyFont="1" applyFill="1" applyBorder="1" applyAlignment="1">
      <alignment horizontal="center" vertical="center"/>
    </xf>
    <xf numFmtId="0" fontId="2" fillId="0" borderId="17" xfId="0" applyFont="1" applyFill="1" applyBorder="1" applyAlignment="1">
      <alignment horizontal="center"/>
    </xf>
    <xf numFmtId="0" fontId="29" fillId="0" borderId="0" xfId="0" applyFont="1" applyFill="1"/>
    <xf numFmtId="166" fontId="28" fillId="0" borderId="0" xfId="1" applyNumberFormat="1" applyFont="1" applyFill="1"/>
    <xf numFmtId="0" fontId="28" fillId="9" borderId="4" xfId="0" applyFont="1" applyFill="1" applyBorder="1" applyAlignment="1">
      <alignment wrapText="1"/>
    </xf>
    <xf numFmtId="166" fontId="28" fillId="9" borderId="4" xfId="0" applyNumberFormat="1" applyFont="1" applyFill="1" applyBorder="1" applyAlignment="1">
      <alignment wrapText="1"/>
    </xf>
    <xf numFmtId="165" fontId="24" fillId="0" borderId="23" xfId="2" applyNumberFormat="1" applyFont="1" applyFill="1" applyBorder="1"/>
    <xf numFmtId="166" fontId="4" fillId="9" borderId="4" xfId="1" applyNumberFormat="1" applyFont="1" applyFill="1" applyBorder="1"/>
    <xf numFmtId="165" fontId="4" fillId="9" borderId="4" xfId="3" applyNumberFormat="1" applyFont="1" applyFill="1" applyBorder="1"/>
    <xf numFmtId="165" fontId="4" fillId="3" borderId="4" xfId="2" applyNumberFormat="1" applyFont="1" applyFill="1" applyBorder="1" applyAlignment="1"/>
    <xf numFmtId="165" fontId="4" fillId="3" borderId="4" xfId="2" applyNumberFormat="1" applyFont="1" applyFill="1" applyBorder="1"/>
    <xf numFmtId="165" fontId="4" fillId="9" borderId="4" xfId="2" applyNumberFormat="1" applyFont="1" applyFill="1" applyBorder="1"/>
    <xf numFmtId="165" fontId="20" fillId="9" borderId="4" xfId="2" applyNumberFormat="1" applyFont="1" applyFill="1" applyBorder="1"/>
    <xf numFmtId="10" fontId="4" fillId="11" borderId="0" xfId="3" applyNumberFormat="1" applyFont="1" applyFill="1" applyBorder="1"/>
    <xf numFmtId="10" fontId="4" fillId="11" borderId="14" xfId="3" applyNumberFormat="1" applyFont="1" applyFill="1" applyBorder="1"/>
    <xf numFmtId="166" fontId="4" fillId="5" borderId="0" xfId="5" applyNumberFormat="1" applyFill="1"/>
    <xf numFmtId="166" fontId="0" fillId="5" borderId="0" xfId="1" applyNumberFormat="1" applyFont="1" applyFill="1" applyBorder="1"/>
    <xf numFmtId="164" fontId="0" fillId="16" borderId="4" xfId="3" applyNumberFormat="1" applyFont="1" applyFill="1" applyBorder="1" applyAlignment="1">
      <alignment horizontal="right"/>
    </xf>
    <xf numFmtId="166" fontId="0" fillId="16" borderId="4" xfId="1" applyNumberFormat="1" applyFont="1" applyFill="1" applyBorder="1" applyProtection="1">
      <protection locked="0"/>
    </xf>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4" fillId="0" borderId="34" xfId="5" applyBorder="1" applyAlignment="1">
      <alignment horizontal="left"/>
    </xf>
    <xf numFmtId="0" fontId="4" fillId="0" borderId="32" xfId="5" applyBorder="1" applyAlignment="1">
      <alignment horizontal="left"/>
    </xf>
    <xf numFmtId="0" fontId="5" fillId="0" borderId="1" xfId="8" applyFont="1" applyBorder="1" applyAlignment="1">
      <alignment horizontal="left"/>
    </xf>
    <xf numFmtId="0" fontId="5" fillId="0" borderId="2" xfId="8" applyFont="1" applyBorder="1" applyAlignment="1">
      <alignment horizontal="left"/>
    </xf>
    <xf numFmtId="166" fontId="5" fillId="2" borderId="1" xfId="5" applyNumberFormat="1"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2" borderId="1" xfId="5" applyFont="1" applyFill="1" applyBorder="1" applyAlignment="1">
      <alignment horizontal="center"/>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0" borderId="1" xfId="5" applyFont="1" applyFill="1" applyBorder="1" applyAlignment="1">
      <alignment horizontal="center" wrapText="1"/>
    </xf>
    <xf numFmtId="0" fontId="5" fillId="0" borderId="3" xfId="5" applyFont="1" applyFill="1" applyBorder="1" applyAlignment="1">
      <alignment horizontal="center" wrapText="1"/>
    </xf>
    <xf numFmtId="0" fontId="19"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166" fontId="5" fillId="3" borderId="4" xfId="1" applyNumberFormat="1" applyFont="1" applyFill="1" applyBorder="1" applyAlignment="1">
      <alignment horizontal="center" wrapText="1"/>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2" fillId="5" borderId="0" xfId="5" applyFont="1" applyFill="1" applyAlignment="1">
      <alignment horizontal="center" vertical="top" wrapText="1"/>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9">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Normal 2 2" xfId="8" xr:uid="{A8155CDA-6B8A-4C17-BE65-E5EB055003A9}"/>
    <cellStyle name="Percent" xfId="3" builtinId="5"/>
  </cellStyles>
  <dxfs count="0"/>
  <tableStyles count="0" defaultTableStyle="TableStyleMedium2" defaultPivotStyle="PivotStyleLight16"/>
  <colors>
    <mruColors>
      <color rgb="FF0000FF"/>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21" Type="http://schemas.openxmlformats.org/officeDocument/2006/relationships/externalLink" Target="externalLinks/externalLink1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customXml" Target="../customXml/item2.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554746</xdr:colOff>
      <xdr:row>37</xdr:row>
      <xdr:rowOff>12374</xdr:rowOff>
    </xdr:from>
    <xdr:ext cx="2168345" cy="2855356"/>
    <xdr:sp macro="" textlink="">
      <xdr:nvSpPr>
        <xdr:cNvPr id="2" name="Rectangle 1">
          <a:extLst>
            <a:ext uri="{FF2B5EF4-FFF2-40B4-BE49-F238E27FC236}">
              <a16:creationId xmlns:a16="http://schemas.microsoft.com/office/drawing/2014/main" id="{FF30F2DC-1A81-4427-A507-115D92C298F2}"/>
            </a:ext>
          </a:extLst>
        </xdr:cNvPr>
        <xdr:cNvSpPr/>
      </xdr:nvSpPr>
      <xdr:spPr>
        <a:xfrm>
          <a:off x="8517646" y="4774874"/>
          <a:ext cx="2168345" cy="2855356"/>
        </a:xfrm>
        <a:prstGeom prst="rect">
          <a:avLst/>
        </a:prstGeom>
        <a:noFill/>
      </xdr:spPr>
      <xdr:txBody>
        <a:bodyPr wrap="square" lIns="91440" tIns="45720" rIns="91440" bIns="45720">
          <a:noAutofit/>
        </a:bodyPr>
        <a:lstStyle/>
        <a:p>
          <a:pPr algn="ctr"/>
          <a:endParaRPr lang="en-US" sz="239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7</xdr:col>
      <xdr:colOff>76200</xdr:colOff>
      <xdr:row>48</xdr:row>
      <xdr:rowOff>59267</xdr:rowOff>
    </xdr:to>
    <xdr:pic>
      <xdr:nvPicPr>
        <xdr:cNvPr id="2" name="Picture 1">
          <a:extLst>
            <a:ext uri="{FF2B5EF4-FFF2-40B4-BE49-F238E27FC236}">
              <a16:creationId xmlns:a16="http://schemas.microsoft.com/office/drawing/2014/main" id="{45E4F90D-846B-4774-B9F8-CC6FDF7FF150}"/>
            </a:ext>
          </a:extLst>
        </xdr:cNvPr>
        <xdr:cNvPicPr>
          <a:picLocks noChangeAspect="1"/>
        </xdr:cNvPicPr>
      </xdr:nvPicPr>
      <xdr:blipFill>
        <a:blip xmlns:r="http://schemas.openxmlformats.org/officeDocument/2006/relationships" r:embed="rId1"/>
        <a:stretch>
          <a:fillRect/>
        </a:stretch>
      </xdr:blipFill>
      <xdr:spPr>
        <a:xfrm>
          <a:off x="609600" y="6502400"/>
          <a:ext cx="11675533" cy="4902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CCOUNTING/BUDGET/FY23/SH/Expenses/Copy%20of%20FY23%20Expense%20(non%20wages)%20Input%2007062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CCOUNTING/BUDGET/FY23/SH/FTES/Copy%20of%20FY23%20SH%20FTE%20BUDG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 AET Listing by Dept"/>
      <sheetName val="Mgr Expense Budget Instructions"/>
      <sheetName val="Summary"/>
      <sheetName val="Notes &amp; Questions"/>
      <sheetName val="Gross Revenue"/>
      <sheetName val="Gross Revenue Pre Rev Chg"/>
      <sheetName val="ACO"/>
      <sheetName val="MSSA Revenue"/>
      <sheetName val="Travelers"/>
      <sheetName val="Wages"/>
      <sheetName val="Locums"/>
      <sheetName val="Other Exp"/>
      <sheetName val="Other Rev"/>
      <sheetName val="Pharmacy"/>
      <sheetName val="Other Exp Detail (2)"/>
      <sheetName val="Other Exp Detail"/>
      <sheetName val="MAY TB"/>
      <sheetName val="Ded From Rev"/>
      <sheetName val="TB Mike 062822"/>
      <sheetName val="TB Mike 062922"/>
      <sheetName val="Ded From Rev 0630 (2)"/>
      <sheetName val="Ded From Rev 0630"/>
      <sheetName val="Fy22 AnnualizedAdj"/>
      <sheetName val="Inflation Pivot"/>
      <sheetName val="Inflation"/>
      <sheetName val="TB Master"/>
      <sheetName val="GMCB Salaries per FTE"/>
      <sheetName val="NPR Increase Summary"/>
      <sheetName val="Income Statement"/>
      <sheetName val="Balance Sheet"/>
      <sheetName val="Income Statement Clean"/>
      <sheetName val="Income Stmt Pre Gross Rev Adj"/>
      <sheetName val="Dept Bud Sum"/>
      <sheetName val="Dept Color Code"/>
      <sheetName val="004"/>
      <sheetName val="008"/>
      <sheetName val="009"/>
      <sheetName val="010"/>
      <sheetName val="011"/>
      <sheetName val="013"/>
      <sheetName val="014"/>
      <sheetName val="015"/>
      <sheetName val="017"/>
      <sheetName val="018"/>
      <sheetName val="019"/>
      <sheetName val="020"/>
      <sheetName val="021"/>
      <sheetName val="022"/>
      <sheetName val="023"/>
      <sheetName val="024"/>
      <sheetName val="025"/>
      <sheetName val="026"/>
      <sheetName val="027"/>
      <sheetName val="028"/>
      <sheetName val="029"/>
      <sheetName val="031"/>
      <sheetName val="032"/>
      <sheetName val="033"/>
      <sheetName val="035"/>
      <sheetName val="036"/>
      <sheetName val="037"/>
      <sheetName val="039"/>
      <sheetName val="040"/>
      <sheetName val="041"/>
      <sheetName val="042"/>
      <sheetName val="043"/>
      <sheetName val="044"/>
      <sheetName val="045"/>
      <sheetName val="046"/>
      <sheetName val="047"/>
      <sheetName val="048"/>
      <sheetName val="049"/>
      <sheetName val="050"/>
      <sheetName val="052"/>
      <sheetName val="053"/>
      <sheetName val="054"/>
      <sheetName val="055"/>
      <sheetName val="056"/>
      <sheetName val="057"/>
      <sheetName val="058"/>
      <sheetName val="060"/>
      <sheetName val="061"/>
      <sheetName val="062"/>
      <sheetName val="063"/>
      <sheetName val="064"/>
      <sheetName val="065"/>
      <sheetName val="066"/>
      <sheetName val="067"/>
      <sheetName val="068"/>
      <sheetName val="069"/>
      <sheetName val="071"/>
      <sheetName val="072"/>
      <sheetName val="073"/>
      <sheetName val="075"/>
      <sheetName val="076"/>
      <sheetName val="080"/>
      <sheetName val="081"/>
      <sheetName val="082"/>
      <sheetName val="083"/>
      <sheetName val="084"/>
      <sheetName val="085"/>
      <sheetName val="086"/>
      <sheetName val="087"/>
      <sheetName val="088"/>
      <sheetName val="089"/>
      <sheetName val="090"/>
      <sheetName val="091"/>
      <sheetName val="092"/>
      <sheetName val="093"/>
      <sheetName val="094"/>
      <sheetName val="096"/>
      <sheetName val="097"/>
      <sheetName val="098"/>
      <sheetName val="Pivot Table by Dep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4">
          <cell r="D4">
            <v>77705.512499999953</v>
          </cell>
        </row>
        <row r="6">
          <cell r="D6">
            <v>102893.83499999996</v>
          </cell>
        </row>
        <row r="8">
          <cell r="D8">
            <v>80015.870000000112</v>
          </cell>
        </row>
        <row r="9">
          <cell r="D9">
            <v>504480.99404999893</v>
          </cell>
        </row>
        <row r="158">
          <cell r="G158">
            <v>29499.139999999992</v>
          </cell>
        </row>
      </sheetData>
      <sheetData sheetId="24"/>
      <sheetData sheetId="25"/>
      <sheetData sheetId="26"/>
      <sheetData sheetId="27"/>
      <sheetData sheetId="28">
        <row r="37">
          <cell r="G37">
            <v>57327249.185714275</v>
          </cell>
          <cell r="H37">
            <v>55043929.297434561</v>
          </cell>
          <cell r="U37">
            <v>59887227.505730182</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E Budget Instructions"/>
      <sheetName val="Manager - AET Listing by Dept"/>
      <sheetName val="Employee Dept Detail"/>
      <sheetName val="FTE Budget Input"/>
      <sheetName val="Notes"/>
      <sheetName val="FTE Detail"/>
      <sheetName val="Lookup"/>
      <sheetName val="FY22 FTEs by Emp"/>
      <sheetName val="FTE Comparison PIVOT"/>
      <sheetName val="FTE Comparisons"/>
      <sheetName val="Questions"/>
      <sheetName val="Traveler Detail"/>
      <sheetName val="Traveler Budget "/>
      <sheetName val="Traveler Budget DONT USE"/>
      <sheetName val="VHS Calc"/>
      <sheetName val="Comparison"/>
      <sheetName val="FY23 FTE BUDGET GL"/>
      <sheetName val="Extra Pay"/>
      <sheetName val="Sheet2"/>
      <sheetName val="Market Adj"/>
      <sheetName val="FY23 FTE BUDGET Master"/>
      <sheetName val="AVG RATES INCL MKT"/>
      <sheetName val="AVG Rates OLD"/>
      <sheetName val="Market Adj Summary FY22"/>
      <sheetName val="Sheet3"/>
      <sheetName val="Sheet1"/>
      <sheetName val="NEW FTES"/>
      <sheetName val="Analytics-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1">
          <cell r="F21">
            <v>323000</v>
          </cell>
        </row>
        <row r="22">
          <cell r="F22">
            <v>267000</v>
          </cell>
        </row>
      </sheetData>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3"/>
  <sheetViews>
    <sheetView workbookViewId="0">
      <selection activeCell="C23" sqref="C23"/>
    </sheetView>
  </sheetViews>
  <sheetFormatPr defaultRowHeight="14.5" x14ac:dyDescent="0.35"/>
  <cols>
    <col min="1" max="1" width="16.26953125" customWidth="1"/>
    <col min="2" max="2" width="66.7265625" style="26" customWidth="1"/>
    <col min="3" max="3" width="17.453125" customWidth="1"/>
  </cols>
  <sheetData>
    <row r="1" spans="1:3" ht="18.5" x14ac:dyDescent="0.45">
      <c r="A1" s="284" t="s">
        <v>214</v>
      </c>
      <c r="B1" s="284"/>
    </row>
    <row r="2" spans="1:3" x14ac:dyDescent="0.35">
      <c r="A2" s="285" t="s">
        <v>0</v>
      </c>
      <c r="B2" s="285"/>
    </row>
    <row r="3" spans="1:3" ht="166.9" customHeight="1" x14ac:dyDescent="0.35">
      <c r="A3" s="283" t="s">
        <v>1</v>
      </c>
      <c r="B3" s="283"/>
    </row>
    <row r="4" spans="1:3" x14ac:dyDescent="0.35">
      <c r="B4" s="41"/>
    </row>
    <row r="5" spans="1:3" ht="15.5" x14ac:dyDescent="0.35">
      <c r="A5" s="100" t="s">
        <v>2</v>
      </c>
      <c r="B5" s="25" t="s">
        <v>3</v>
      </c>
      <c r="C5" s="40"/>
    </row>
    <row r="6" spans="1:3" ht="15.5" x14ac:dyDescent="0.35">
      <c r="A6" s="100" t="s">
        <v>2</v>
      </c>
      <c r="B6" s="40" t="s">
        <v>4</v>
      </c>
      <c r="C6" s="40"/>
    </row>
    <row r="7" spans="1:3" ht="15.5" x14ac:dyDescent="0.35">
      <c r="A7" s="99" t="s">
        <v>5</v>
      </c>
      <c r="B7" s="40" t="s">
        <v>6</v>
      </c>
      <c r="C7" s="40"/>
    </row>
    <row r="8" spans="1:3" ht="15.5" x14ac:dyDescent="0.35">
      <c r="A8" s="100" t="s">
        <v>2</v>
      </c>
      <c r="B8" s="25" t="s">
        <v>7</v>
      </c>
      <c r="C8" s="40"/>
    </row>
    <row r="9" spans="1:3" ht="15.5" x14ac:dyDescent="0.35">
      <c r="A9" s="100" t="s">
        <v>2</v>
      </c>
      <c r="B9" s="25" t="s">
        <v>208</v>
      </c>
      <c r="C9" s="40"/>
    </row>
    <row r="10" spans="1:3" ht="15.5" x14ac:dyDescent="0.35">
      <c r="A10" s="100" t="s">
        <v>2</v>
      </c>
      <c r="B10" s="169" t="s">
        <v>209</v>
      </c>
      <c r="C10" s="40"/>
    </row>
    <row r="11" spans="1:3" x14ac:dyDescent="0.35">
      <c r="C11" s="27"/>
    </row>
    <row r="12" spans="1:3" x14ac:dyDescent="0.35">
      <c r="C12" s="27"/>
    </row>
    <row r="13" spans="1:3" x14ac:dyDescent="0.35">
      <c r="C13" s="27"/>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rgb="FFFF0000"/>
  </sheetPr>
  <dimension ref="A2:W109"/>
  <sheetViews>
    <sheetView showGridLines="0" tabSelected="1" topLeftCell="A55" zoomScale="90" zoomScaleNormal="90" zoomScaleSheetLayoutView="80" workbookViewId="0">
      <selection activeCell="E31" sqref="E31"/>
    </sheetView>
  </sheetViews>
  <sheetFormatPr defaultRowHeight="14.5" x14ac:dyDescent="0.35"/>
  <cols>
    <col min="1" max="1" width="4.453125" customWidth="1"/>
    <col min="2" max="2" width="58.1796875" customWidth="1"/>
    <col min="3" max="5" width="16.453125" customWidth="1"/>
    <col min="6" max="7" width="18.26953125" customWidth="1"/>
    <col min="8" max="8" width="19.7265625" customWidth="1"/>
    <col min="9" max="9" width="16.453125" customWidth="1"/>
    <col min="10" max="10" width="25.26953125" customWidth="1"/>
    <col min="11" max="11" width="19.7265625" customWidth="1"/>
    <col min="12" max="12" width="16.453125" customWidth="1"/>
    <col min="13" max="13" width="15.1796875" customWidth="1"/>
    <col min="14" max="14" width="24.54296875" customWidth="1"/>
    <col min="16" max="16" width="36" customWidth="1"/>
    <col min="22" max="22" width="15.26953125" bestFit="1" customWidth="1"/>
    <col min="23" max="23" width="10.26953125" bestFit="1" customWidth="1"/>
  </cols>
  <sheetData>
    <row r="2" spans="1:15" x14ac:dyDescent="0.35">
      <c r="B2" s="287" t="s">
        <v>8</v>
      </c>
      <c r="C2" s="287"/>
      <c r="D2" s="287"/>
      <c r="E2" s="287"/>
      <c r="F2" s="287"/>
      <c r="G2" s="287"/>
      <c r="H2" s="287"/>
      <c r="I2" s="287"/>
      <c r="J2" s="287"/>
      <c r="K2" s="287"/>
      <c r="L2" s="287"/>
      <c r="M2" s="287"/>
      <c r="N2" s="287"/>
      <c r="O2" s="287"/>
    </row>
    <row r="3" spans="1:15" ht="21" x14ac:dyDescent="0.5">
      <c r="B3" s="288" t="s">
        <v>9</v>
      </c>
      <c r="C3" s="289"/>
      <c r="D3" s="289"/>
      <c r="E3" s="289"/>
      <c r="F3" s="289"/>
      <c r="G3" s="289"/>
      <c r="H3" s="289"/>
      <c r="I3" s="289"/>
      <c r="J3" s="289"/>
      <c r="K3" s="289"/>
      <c r="L3" s="289"/>
      <c r="M3" s="289"/>
      <c r="N3" s="289"/>
      <c r="O3" s="290"/>
    </row>
    <row r="4" spans="1:15" ht="21" x14ac:dyDescent="0.5">
      <c r="B4" s="294" t="s">
        <v>10</v>
      </c>
      <c r="C4" s="295"/>
      <c r="D4" s="295"/>
      <c r="E4" s="295"/>
      <c r="F4" s="295"/>
      <c r="G4" s="295"/>
      <c r="H4" s="295"/>
      <c r="I4" s="295"/>
      <c r="J4" s="295"/>
      <c r="K4" s="295"/>
      <c r="L4" s="295"/>
      <c r="M4" s="295"/>
      <c r="N4" s="295"/>
      <c r="O4" s="296"/>
    </row>
    <row r="6" spans="1:15" ht="18.5" x14ac:dyDescent="0.45">
      <c r="B6" s="291" t="s">
        <v>11</v>
      </c>
      <c r="C6" s="292"/>
      <c r="D6" s="292"/>
      <c r="E6" s="292"/>
      <c r="F6" s="292"/>
      <c r="G6" s="292"/>
      <c r="H6" s="292"/>
      <c r="I6" s="292"/>
      <c r="J6" s="292"/>
      <c r="K6" s="292"/>
      <c r="L6" s="292"/>
      <c r="M6" s="292"/>
      <c r="N6" s="292"/>
      <c r="O6" s="293"/>
    </row>
    <row r="7" spans="1:15" s="50" customFormat="1" ht="18.5" x14ac:dyDescent="0.45">
      <c r="B7" s="49"/>
      <c r="C7" s="49"/>
      <c r="D7" s="49"/>
      <c r="E7" s="49"/>
      <c r="F7" s="49"/>
      <c r="G7" s="49"/>
      <c r="H7" s="49"/>
      <c r="I7" s="49"/>
      <c r="J7" s="49"/>
      <c r="K7" s="49"/>
      <c r="L7" s="49"/>
      <c r="M7" s="49"/>
      <c r="N7" s="49"/>
      <c r="O7" s="49"/>
    </row>
    <row r="8" spans="1:15" ht="29.25" customHeight="1" x14ac:dyDescent="0.45">
      <c r="B8" s="86" t="s">
        <v>152</v>
      </c>
      <c r="C8" s="4"/>
    </row>
    <row r="9" spans="1:15" ht="23.25" customHeight="1" x14ac:dyDescent="0.45">
      <c r="B9" s="266"/>
      <c r="C9" s="267"/>
      <c r="D9" s="267"/>
      <c r="E9" s="267"/>
      <c r="F9" s="267"/>
      <c r="G9" s="267"/>
      <c r="H9" s="76"/>
      <c r="I9" s="76"/>
      <c r="K9" s="27"/>
    </row>
    <row r="10" spans="1:15" s="92" customFormat="1" x14ac:dyDescent="0.35">
      <c r="B10" s="91" t="s">
        <v>12</v>
      </c>
      <c r="C10" s="91" t="s">
        <v>13</v>
      </c>
      <c r="D10" s="91" t="s">
        <v>14</v>
      </c>
      <c r="E10" s="91" t="s">
        <v>15</v>
      </c>
      <c r="F10" s="91" t="s">
        <v>16</v>
      </c>
      <c r="G10" s="91" t="s">
        <v>17</v>
      </c>
      <c r="H10" s="91" t="s">
        <v>18</v>
      </c>
      <c r="I10" s="209"/>
      <c r="J10" s="93"/>
    </row>
    <row r="11" spans="1:15" x14ac:dyDescent="0.35">
      <c r="B11" s="5" t="s">
        <v>153</v>
      </c>
      <c r="C11" s="81">
        <f>SUM(D11:H11)</f>
        <v>54689912</v>
      </c>
      <c r="D11" s="210">
        <v>18891481</v>
      </c>
      <c r="E11" s="210">
        <v>6127683</v>
      </c>
      <c r="F11" s="210">
        <v>28557345</v>
      </c>
      <c r="G11" s="210">
        <v>289519</v>
      </c>
      <c r="H11" s="210">
        <v>823884</v>
      </c>
      <c r="J11" s="27"/>
    </row>
    <row r="12" spans="1:15" ht="14.5" customHeight="1" x14ac:dyDescent="0.35">
      <c r="A12" s="297"/>
      <c r="B12" s="8" t="s">
        <v>19</v>
      </c>
      <c r="C12" s="81">
        <f>SUM(D12:G12)</f>
        <v>2847925</v>
      </c>
      <c r="D12" s="181">
        <f>485667-D19</f>
        <v>352822</v>
      </c>
      <c r="E12" s="181">
        <f>145640-E19</f>
        <v>145523</v>
      </c>
      <c r="F12" s="85">
        <f>1557490-F19</f>
        <v>1583239</v>
      </c>
      <c r="G12" s="85">
        <f>26985-G19</f>
        <v>766341</v>
      </c>
      <c r="H12" s="85"/>
      <c r="L12" s="21"/>
      <c r="M12" s="22"/>
    </row>
    <row r="13" spans="1:15" x14ac:dyDescent="0.35">
      <c r="A13" s="297"/>
      <c r="B13" s="8" t="s">
        <v>20</v>
      </c>
      <c r="C13" s="81">
        <f>SUM(D13:H13)</f>
        <v>-73884</v>
      </c>
      <c r="D13" s="181"/>
      <c r="E13" s="181"/>
      <c r="F13" s="85"/>
      <c r="G13" s="85"/>
      <c r="H13" s="85">
        <v>-73884</v>
      </c>
      <c r="L13" s="21"/>
      <c r="M13" s="22"/>
    </row>
    <row r="14" spans="1:15" x14ac:dyDescent="0.35">
      <c r="A14" s="297"/>
      <c r="B14" s="8" t="s">
        <v>21</v>
      </c>
      <c r="C14" s="81">
        <f>SUM(D14:H14)</f>
        <v>1946829</v>
      </c>
      <c r="D14" s="181">
        <f>8754778-D22</f>
        <v>4928319</v>
      </c>
      <c r="E14" s="181">
        <v>-1047065</v>
      </c>
      <c r="F14" s="85">
        <f>-5743939-F22</f>
        <v>-1917480</v>
      </c>
      <c r="G14" s="85">
        <v>-16945</v>
      </c>
      <c r="H14" s="85"/>
      <c r="L14" s="21"/>
      <c r="M14" s="22"/>
    </row>
    <row r="15" spans="1:15" x14ac:dyDescent="0.35">
      <c r="A15" s="297"/>
      <c r="B15" s="8" t="s">
        <v>22</v>
      </c>
      <c r="C15" s="81">
        <f t="shared" ref="C15:C18" si="0">SUM(D15:H15)</f>
        <v>0</v>
      </c>
      <c r="D15" s="181"/>
      <c r="E15" s="181"/>
      <c r="F15" s="85"/>
      <c r="G15" s="85"/>
      <c r="H15" s="85"/>
      <c r="L15" s="21"/>
      <c r="M15" s="22"/>
    </row>
    <row r="16" spans="1:15" x14ac:dyDescent="0.35">
      <c r="A16" s="297"/>
      <c r="B16" s="10" t="s">
        <v>23</v>
      </c>
      <c r="C16" s="81">
        <f t="shared" si="0"/>
        <v>0</v>
      </c>
      <c r="D16" s="181"/>
      <c r="E16" s="181"/>
      <c r="F16" s="211"/>
      <c r="G16" s="211"/>
      <c r="H16" s="211"/>
      <c r="L16" s="21"/>
      <c r="M16" s="22"/>
    </row>
    <row r="17" spans="1:23" x14ac:dyDescent="0.35">
      <c r="A17" s="297"/>
      <c r="B17" s="10" t="s">
        <v>24</v>
      </c>
      <c r="C17" s="81">
        <f t="shared" si="0"/>
        <v>0</v>
      </c>
      <c r="D17" s="181"/>
      <c r="E17" s="181"/>
      <c r="F17" s="85"/>
      <c r="G17" s="85"/>
      <c r="H17" s="85"/>
      <c r="L17" s="21"/>
      <c r="M17" s="22"/>
    </row>
    <row r="18" spans="1:23" x14ac:dyDescent="0.35">
      <c r="A18" s="297"/>
      <c r="B18" s="10" t="s">
        <v>25</v>
      </c>
      <c r="C18" s="81">
        <f t="shared" si="0"/>
        <v>0</v>
      </c>
      <c r="D18" s="181"/>
      <c r="E18" s="181"/>
      <c r="F18" s="85"/>
      <c r="G18" s="85"/>
      <c r="H18" s="85"/>
      <c r="L18" s="21"/>
      <c r="M18" s="22"/>
    </row>
    <row r="19" spans="1:23" x14ac:dyDescent="0.35">
      <c r="A19" s="297"/>
      <c r="B19" s="185" t="s">
        <v>26</v>
      </c>
      <c r="C19" s="81">
        <f>SUM(D19:H19)</f>
        <v>-632143</v>
      </c>
      <c r="D19" s="181">
        <v>132845</v>
      </c>
      <c r="E19" s="181">
        <v>117</v>
      </c>
      <c r="F19" s="85">
        <v>-25749</v>
      </c>
      <c r="G19" s="85">
        <v>-739356</v>
      </c>
      <c r="H19" s="85"/>
      <c r="L19" s="21"/>
      <c r="M19" s="22"/>
    </row>
    <row r="20" spans="1:23" x14ac:dyDescent="0.35">
      <c r="B20" s="80" t="s">
        <v>27</v>
      </c>
      <c r="C20" s="81">
        <f>SUM(D20:H20)</f>
        <v>0</v>
      </c>
      <c r="D20" s="181"/>
      <c r="E20" s="181"/>
      <c r="F20" s="211"/>
      <c r="G20" s="211"/>
      <c r="H20" s="211"/>
      <c r="O20" s="21"/>
      <c r="P20" s="22"/>
    </row>
    <row r="21" spans="1:23" x14ac:dyDescent="0.35">
      <c r="B21" s="80" t="s">
        <v>27</v>
      </c>
      <c r="C21" s="81">
        <f>SUM(D21:H21)</f>
        <v>0</v>
      </c>
      <c r="D21" s="181"/>
      <c r="E21" s="181"/>
      <c r="F21" s="211"/>
      <c r="G21" s="211"/>
      <c r="H21" s="211"/>
      <c r="O21" s="21"/>
      <c r="P21" s="22"/>
    </row>
    <row r="22" spans="1:23" ht="29" x14ac:dyDescent="0.35">
      <c r="B22" s="268" t="s">
        <v>269</v>
      </c>
      <c r="C22" s="269">
        <f>SUM(D22:H22)</f>
        <v>0</v>
      </c>
      <c r="D22" s="269">
        <v>3826459</v>
      </c>
      <c r="E22" s="268"/>
      <c r="F22" s="269">
        <f>-D22</f>
        <v>-3826459</v>
      </c>
      <c r="G22" s="268"/>
      <c r="H22" s="268"/>
      <c r="O22" s="21"/>
      <c r="P22" s="22"/>
    </row>
    <row r="23" spans="1:23" x14ac:dyDescent="0.35">
      <c r="B23" s="11" t="s">
        <v>154</v>
      </c>
      <c r="C23" s="6">
        <f t="shared" ref="C23:H23" si="1">SUM(C11:C22)</f>
        <v>58778639</v>
      </c>
      <c r="D23" s="47">
        <f t="shared" si="1"/>
        <v>28131926</v>
      </c>
      <c r="E23" s="47">
        <f t="shared" si="1"/>
        <v>5226258</v>
      </c>
      <c r="F23" s="47">
        <f t="shared" si="1"/>
        <v>24370896</v>
      </c>
      <c r="G23" s="47">
        <f t="shared" si="1"/>
        <v>299559</v>
      </c>
      <c r="H23" s="47">
        <f t="shared" si="1"/>
        <v>750000</v>
      </c>
      <c r="O23" s="21"/>
      <c r="P23" s="22"/>
    </row>
    <row r="24" spans="1:23" x14ac:dyDescent="0.35">
      <c r="C24" s="14"/>
      <c r="D24" s="15"/>
      <c r="O24" s="21"/>
      <c r="P24" s="22"/>
    </row>
    <row r="25" spans="1:23" x14ac:dyDescent="0.35">
      <c r="B25" s="212" t="s">
        <v>155</v>
      </c>
      <c r="C25" s="19">
        <f>+C23-C11-C22</f>
        <v>4088727</v>
      </c>
      <c r="D25" s="19">
        <f>+D23-D11-D22</f>
        <v>5413986</v>
      </c>
      <c r="E25" s="19">
        <f t="shared" ref="E25:H25" si="2">+E23-E11-E22</f>
        <v>-901425</v>
      </c>
      <c r="F25" s="19">
        <f t="shared" si="2"/>
        <v>-359990</v>
      </c>
      <c r="G25" s="19">
        <f t="shared" si="2"/>
        <v>10040</v>
      </c>
      <c r="H25" s="19">
        <f t="shared" si="2"/>
        <v>-73884</v>
      </c>
      <c r="O25" s="21"/>
      <c r="P25" s="22"/>
    </row>
    <row r="26" spans="1:23" x14ac:dyDescent="0.35">
      <c r="B26" s="213" t="s">
        <v>156</v>
      </c>
      <c r="C26" s="224">
        <f>(C25)/(C11+C22)</f>
        <v>7.4761996325757488E-2</v>
      </c>
      <c r="D26" s="224">
        <f>(D25)/(D11+D22)</f>
        <v>0.23831324495090664</v>
      </c>
      <c r="E26" s="224">
        <f t="shared" ref="E26:H26" si="3">(E25)/(E11+E22)</f>
        <v>-0.1471069897055706</v>
      </c>
      <c r="F26" s="224">
        <f t="shared" si="3"/>
        <v>-1.4556292079466947E-2</v>
      </c>
      <c r="G26" s="224">
        <f t="shared" si="3"/>
        <v>3.4678207647857305E-2</v>
      </c>
      <c r="H26" s="224">
        <f t="shared" si="3"/>
        <v>-8.9677673070480801E-2</v>
      </c>
      <c r="O26" s="21"/>
      <c r="P26" s="22"/>
    </row>
    <row r="27" spans="1:23" x14ac:dyDescent="0.35">
      <c r="B27" s="102"/>
      <c r="C27" s="53"/>
      <c r="D27" s="53" t="s">
        <v>257</v>
      </c>
      <c r="E27" s="53"/>
      <c r="F27" s="53"/>
      <c r="G27" s="53"/>
      <c r="H27" s="53"/>
      <c r="O27" s="21"/>
      <c r="P27" s="22"/>
    </row>
    <row r="28" spans="1:23" ht="28.15" customHeight="1" x14ac:dyDescent="0.45">
      <c r="B28" s="86" t="s">
        <v>157</v>
      </c>
      <c r="C28" s="4"/>
      <c r="D28" s="53"/>
      <c r="E28" s="15"/>
      <c r="V28" s="21"/>
      <c r="W28" s="22"/>
    </row>
    <row r="29" spans="1:23" ht="18.5" x14ac:dyDescent="0.45">
      <c r="B29" s="86"/>
      <c r="C29" s="4"/>
      <c r="D29" s="15"/>
      <c r="E29" s="15"/>
      <c r="V29" s="21"/>
      <c r="W29" s="22"/>
    </row>
    <row r="30" spans="1:23" s="79" customFormat="1" x14ac:dyDescent="0.35">
      <c r="B30" s="88" t="s">
        <v>28</v>
      </c>
      <c r="C30" s="88" t="s">
        <v>29</v>
      </c>
      <c r="D30" s="88" t="s">
        <v>30</v>
      </c>
      <c r="E30" s="148"/>
      <c r="F30" s="149"/>
      <c r="G30" s="149"/>
      <c r="H30" s="149"/>
      <c r="V30" s="89"/>
      <c r="W30" s="90"/>
    </row>
    <row r="31" spans="1:23" x14ac:dyDescent="0.35">
      <c r="B31" s="5" t="s">
        <v>153</v>
      </c>
      <c r="C31" s="81">
        <f>'[20]Income Statement'!$H$37</f>
        <v>55043929.297434561</v>
      </c>
      <c r="D31" s="7"/>
      <c r="E31" s="162"/>
      <c r="F31" s="162"/>
      <c r="G31" s="151"/>
      <c r="H31" s="151"/>
      <c r="V31" s="21"/>
      <c r="W31" s="22"/>
    </row>
    <row r="32" spans="1:23" x14ac:dyDescent="0.35">
      <c r="B32" s="8" t="s">
        <v>31</v>
      </c>
      <c r="C32" s="85">
        <v>640000</v>
      </c>
      <c r="D32" s="9">
        <f>+C32/C$31</f>
        <v>1.1627076921447694E-2</v>
      </c>
      <c r="E32" s="150"/>
      <c r="F32" s="77"/>
      <c r="G32" s="151"/>
      <c r="H32" s="151"/>
      <c r="V32" s="21"/>
    </row>
    <row r="33" spans="2:22" x14ac:dyDescent="0.35">
      <c r="B33" s="147" t="s">
        <v>176</v>
      </c>
      <c r="C33" s="143">
        <v>1094480.9940499989</v>
      </c>
      <c r="D33" s="9">
        <f t="shared" ref="D33:D47" si="4">+C33/C$31</f>
        <v>1.9883772979502928E-2</v>
      </c>
      <c r="E33" s="152"/>
      <c r="F33" s="77"/>
      <c r="G33" s="151"/>
      <c r="H33" s="151"/>
      <c r="V33" s="21"/>
    </row>
    <row r="34" spans="2:22" x14ac:dyDescent="0.35">
      <c r="B34" s="147" t="s">
        <v>226</v>
      </c>
      <c r="C34" s="143">
        <v>-1094480.9940499989</v>
      </c>
      <c r="D34" s="9">
        <f t="shared" si="4"/>
        <v>-1.9883772979502928E-2</v>
      </c>
      <c r="E34" s="152"/>
      <c r="F34" s="77"/>
      <c r="G34" s="151"/>
      <c r="H34" s="151"/>
      <c r="V34" s="21"/>
    </row>
    <row r="35" spans="2:22" x14ac:dyDescent="0.35">
      <c r="B35" s="10" t="s">
        <v>227</v>
      </c>
      <c r="C35" s="181">
        <v>542306.55572912842</v>
      </c>
      <c r="D35" s="9">
        <f t="shared" si="4"/>
        <v>9.8522500601061526E-3</v>
      </c>
      <c r="E35" s="182"/>
      <c r="F35" s="184">
        <f>SUM(F33:F34)</f>
        <v>0</v>
      </c>
      <c r="G35" s="184">
        <f>SUM(G33:G34)</f>
        <v>0</v>
      </c>
      <c r="H35" s="151"/>
      <c r="V35" s="21"/>
    </row>
    <row r="36" spans="2:22" x14ac:dyDescent="0.35">
      <c r="B36" s="185" t="s">
        <v>228</v>
      </c>
      <c r="C36" s="181">
        <v>412930.2379999999</v>
      </c>
      <c r="D36" s="9">
        <f t="shared" si="4"/>
        <v>7.50183068815266E-3</v>
      </c>
      <c r="E36" s="182" t="s">
        <v>255</v>
      </c>
      <c r="F36" s="150"/>
      <c r="G36" s="151"/>
      <c r="H36" s="151"/>
      <c r="V36" s="21"/>
    </row>
    <row r="37" spans="2:22" x14ac:dyDescent="0.35">
      <c r="B37" s="10" t="s">
        <v>33</v>
      </c>
      <c r="C37" s="85">
        <v>-243078.18078140169</v>
      </c>
      <c r="D37" s="9">
        <f t="shared" si="4"/>
        <v>-4.4160761029233223E-3</v>
      </c>
      <c r="E37" s="150"/>
      <c r="F37" s="150"/>
      <c r="G37" s="151"/>
      <c r="H37" s="151"/>
      <c r="V37" s="21"/>
    </row>
    <row r="38" spans="2:22" x14ac:dyDescent="0.35">
      <c r="B38" s="10" t="s">
        <v>34</v>
      </c>
      <c r="C38" s="85">
        <v>1572704.7999999998</v>
      </c>
      <c r="D38" s="9">
        <f t="shared" si="4"/>
        <v>2.8571812006765642E-2</v>
      </c>
      <c r="E38" s="150"/>
      <c r="F38" s="183"/>
      <c r="G38" s="151"/>
      <c r="H38" s="151"/>
      <c r="V38" s="21"/>
    </row>
    <row r="39" spans="2:22" x14ac:dyDescent="0.35">
      <c r="B39" s="185" t="s">
        <v>229</v>
      </c>
      <c r="C39" s="85">
        <v>338699.99999999936</v>
      </c>
      <c r="D39" s="9">
        <f t="shared" si="4"/>
        <v>6.1532671145223851E-3</v>
      </c>
      <c r="E39" s="182" t="s">
        <v>256</v>
      </c>
      <c r="F39" s="150"/>
      <c r="G39" s="151"/>
      <c r="H39" s="151"/>
      <c r="V39" s="21"/>
    </row>
    <row r="40" spans="2:22" x14ac:dyDescent="0.35">
      <c r="B40" s="10" t="s">
        <v>35</v>
      </c>
      <c r="C40" s="85">
        <v>7124.0124999997206</v>
      </c>
      <c r="D40" s="9">
        <f t="shared" si="4"/>
        <v>1.2942412707320569E-4</v>
      </c>
      <c r="E40" s="150"/>
      <c r="F40" s="150"/>
      <c r="G40" s="151"/>
      <c r="H40" s="151"/>
    </row>
    <row r="41" spans="2:22" x14ac:dyDescent="0.35">
      <c r="B41" s="10" t="s">
        <v>36</v>
      </c>
      <c r="C41" s="85">
        <v>694718.34873246308</v>
      </c>
      <c r="D41" s="9">
        <f t="shared" si="4"/>
        <v>1.2621161999146051E-2</v>
      </c>
      <c r="E41" s="150"/>
      <c r="F41" s="150"/>
      <c r="G41" s="151"/>
      <c r="H41" s="151"/>
    </row>
    <row r="42" spans="2:22" x14ac:dyDescent="0.35">
      <c r="B42" s="10" t="s">
        <v>37</v>
      </c>
      <c r="C42" s="85"/>
      <c r="D42" s="9">
        <f>+C42/C$31</f>
        <v>0</v>
      </c>
      <c r="E42" s="150"/>
      <c r="F42" s="150"/>
      <c r="G42" s="151"/>
      <c r="H42" s="151"/>
    </row>
    <row r="43" spans="2:22" x14ac:dyDescent="0.35">
      <c r="B43" s="80" t="s">
        <v>179</v>
      </c>
      <c r="C43" s="85">
        <v>243122.66134153702</v>
      </c>
      <c r="D43" s="9">
        <f>+C43/C$31</f>
        <v>4.416884194945514E-3</v>
      </c>
      <c r="E43" s="150"/>
      <c r="F43" s="150"/>
      <c r="G43" s="151"/>
      <c r="H43" s="151"/>
    </row>
    <row r="44" spans="2:22" x14ac:dyDescent="0.35">
      <c r="B44" s="80" t="s">
        <v>180</v>
      </c>
      <c r="C44" s="85"/>
      <c r="D44" s="9">
        <f t="shared" ref="D44:D45" si="5">+C44/C$31</f>
        <v>0</v>
      </c>
      <c r="E44" s="150"/>
      <c r="F44" s="150"/>
      <c r="G44" s="151"/>
      <c r="H44" s="151"/>
    </row>
    <row r="45" spans="2:22" x14ac:dyDescent="0.35">
      <c r="B45" s="80" t="s">
        <v>181</v>
      </c>
      <c r="C45" s="181">
        <v>74283</v>
      </c>
      <c r="D45" s="9">
        <f t="shared" si="5"/>
        <v>1.3495221171185923E-3</v>
      </c>
      <c r="E45" s="150"/>
      <c r="F45" s="150"/>
      <c r="G45" s="151"/>
      <c r="H45" s="151"/>
    </row>
    <row r="46" spans="2:22" x14ac:dyDescent="0.35">
      <c r="B46" s="80" t="s">
        <v>182</v>
      </c>
      <c r="C46" s="85">
        <v>496609.3751455968</v>
      </c>
      <c r="D46" s="9">
        <f t="shared" si="4"/>
        <v>9.0220553198905144E-3</v>
      </c>
      <c r="E46" s="182"/>
      <c r="F46" s="150"/>
      <c r="G46" s="151"/>
      <c r="H46" s="151"/>
    </row>
    <row r="47" spans="2:22" x14ac:dyDescent="0.35">
      <c r="B47" s="80" t="s">
        <v>38</v>
      </c>
      <c r="C47" s="181">
        <v>63877</v>
      </c>
      <c r="D47" s="9">
        <f t="shared" si="4"/>
        <v>1.1604731132989288E-3</v>
      </c>
      <c r="E47" s="150"/>
      <c r="F47" s="150"/>
      <c r="G47" s="151"/>
      <c r="H47" s="151"/>
    </row>
    <row r="48" spans="2:22" x14ac:dyDescent="0.35">
      <c r="B48" s="11" t="s">
        <v>154</v>
      </c>
      <c r="C48" s="12">
        <f>SUM(C31:C47)</f>
        <v>59887227.108101889</v>
      </c>
      <c r="D48" s="13">
        <f>SUM(D32:D47)</f>
        <v>8.7989681559544036E-2</v>
      </c>
      <c r="E48" s="150"/>
      <c r="F48" s="150"/>
      <c r="G48" s="151"/>
      <c r="H48" s="151"/>
    </row>
    <row r="49" spans="1:23" x14ac:dyDescent="0.35">
      <c r="B49" s="77"/>
      <c r="C49" s="78"/>
      <c r="D49" s="70"/>
      <c r="E49" s="150"/>
      <c r="F49" s="150"/>
    </row>
    <row r="50" spans="1:23" x14ac:dyDescent="0.35">
      <c r="B50" s="28" t="s">
        <v>155</v>
      </c>
      <c r="C50" s="57">
        <f>+C48-C31</f>
        <v>4843297.8106673285</v>
      </c>
      <c r="D50" s="70"/>
      <c r="E50" s="70"/>
    </row>
    <row r="51" spans="1:23" x14ac:dyDescent="0.35">
      <c r="B51" s="48" t="s">
        <v>156</v>
      </c>
      <c r="C51" s="224">
        <f>(C50)/C31</f>
        <v>8.7989681559544133E-2</v>
      </c>
      <c r="D51" s="70"/>
      <c r="E51" s="70"/>
    </row>
    <row r="52" spans="1:23" x14ac:dyDescent="0.35">
      <c r="B52" s="102"/>
      <c r="C52" s="53"/>
      <c r="D52" s="53"/>
      <c r="E52" s="53"/>
      <c r="F52" s="53"/>
      <c r="G52" s="53"/>
      <c r="H52" s="53"/>
      <c r="O52" s="21"/>
      <c r="P52" s="22"/>
    </row>
    <row r="54" spans="1:23" ht="18.5" x14ac:dyDescent="0.45">
      <c r="B54" s="291" t="s">
        <v>39</v>
      </c>
      <c r="C54" s="292"/>
      <c r="D54" s="292"/>
      <c r="E54" s="292"/>
      <c r="F54" s="292"/>
      <c r="G54" s="292"/>
      <c r="H54" s="292"/>
      <c r="I54" s="292"/>
      <c r="J54" s="292"/>
      <c r="K54" s="292"/>
      <c r="L54" s="292"/>
      <c r="M54" s="292"/>
      <c r="N54" s="292"/>
      <c r="O54" s="293"/>
      <c r="V54" s="21"/>
      <c r="W54" s="22"/>
    </row>
    <row r="55" spans="1:23" x14ac:dyDescent="0.35">
      <c r="B55" s="17"/>
    </row>
    <row r="56" spans="1:23" ht="18.5" x14ac:dyDescent="0.45">
      <c r="B56" s="86" t="s">
        <v>158</v>
      </c>
      <c r="C56" s="4"/>
    </row>
    <row r="57" spans="1:23" ht="18.5" x14ac:dyDescent="0.45">
      <c r="B57" s="86"/>
      <c r="C57" s="4"/>
    </row>
    <row r="58" spans="1:23" ht="18.5" x14ac:dyDescent="0.45">
      <c r="B58" s="86" t="s">
        <v>40</v>
      </c>
      <c r="C58" s="226"/>
      <c r="D58" s="151"/>
    </row>
    <row r="59" spans="1:23" s="79" customFormat="1" x14ac:dyDescent="0.35">
      <c r="B59" s="87" t="s">
        <v>12</v>
      </c>
      <c r="C59" s="87" t="s">
        <v>13</v>
      </c>
      <c r="D59" s="87" t="s">
        <v>14</v>
      </c>
      <c r="E59" s="87" t="s">
        <v>15</v>
      </c>
      <c r="F59" s="87" t="s">
        <v>16</v>
      </c>
      <c r="G59" s="87" t="s">
        <v>17</v>
      </c>
      <c r="H59" s="87" t="s">
        <v>18</v>
      </c>
    </row>
    <row r="60" spans="1:23" x14ac:dyDescent="0.35">
      <c r="B60" s="5" t="s">
        <v>159</v>
      </c>
      <c r="C60" s="210">
        <f>SUM(D60:H60)</f>
        <v>51720947</v>
      </c>
      <c r="D60" s="210">
        <v>26072775</v>
      </c>
      <c r="E60" s="210">
        <v>3742548</v>
      </c>
      <c r="F60" s="210">
        <v>20878021</v>
      </c>
      <c r="G60" s="210">
        <v>272289</v>
      </c>
      <c r="H60" s="210">
        <v>755314</v>
      </c>
    </row>
    <row r="61" spans="1:23" x14ac:dyDescent="0.35">
      <c r="A61" s="286"/>
      <c r="B61" s="8" t="s">
        <v>19</v>
      </c>
      <c r="C61" s="210">
        <f>SUM(D61:H61)</f>
        <v>2718957</v>
      </c>
      <c r="D61" s="181">
        <f>485667-D68-1</f>
        <v>537482</v>
      </c>
      <c r="E61" s="181">
        <f>145640-E68</f>
        <v>162710</v>
      </c>
      <c r="F61" s="181">
        <f>1557490-F68</f>
        <v>1586721</v>
      </c>
      <c r="G61" s="181">
        <f>26985-G68</f>
        <v>432044</v>
      </c>
      <c r="H61" s="85"/>
      <c r="L61" s="21"/>
      <c r="M61" s="22"/>
    </row>
    <row r="62" spans="1:23" x14ac:dyDescent="0.35">
      <c r="A62" s="286"/>
      <c r="B62" s="8" t="s">
        <v>20</v>
      </c>
      <c r="C62" s="210">
        <f t="shared" ref="C62:C70" si="6">SUM(D62:H62)</f>
        <v>-5314</v>
      </c>
      <c r="D62" s="181"/>
      <c r="E62" s="181"/>
      <c r="F62" s="85"/>
      <c r="G62" s="85"/>
      <c r="H62" s="85">
        <v>-5314</v>
      </c>
      <c r="L62" s="21"/>
      <c r="M62" s="22"/>
    </row>
    <row r="63" spans="1:23" x14ac:dyDescent="0.35">
      <c r="A63" s="286"/>
      <c r="B63" s="281" t="s">
        <v>21</v>
      </c>
      <c r="C63" s="282">
        <f t="shared" si="6"/>
        <v>4847225</v>
      </c>
      <c r="D63" s="282">
        <v>1573484</v>
      </c>
      <c r="E63" s="282">
        <v>1338070</v>
      </c>
      <c r="F63" s="282">
        <v>1935386</v>
      </c>
      <c r="G63" s="282">
        <v>285</v>
      </c>
      <c r="H63" s="282"/>
      <c r="L63" s="21"/>
      <c r="M63" s="22"/>
    </row>
    <row r="64" spans="1:23" x14ac:dyDescent="0.35">
      <c r="A64" s="286"/>
      <c r="B64" s="8" t="s">
        <v>22</v>
      </c>
      <c r="C64" s="210">
        <f t="shared" si="6"/>
        <v>0</v>
      </c>
      <c r="D64" s="82"/>
      <c r="E64" s="214"/>
      <c r="F64" s="83"/>
      <c r="G64" s="83"/>
      <c r="H64" s="83"/>
      <c r="L64" s="21"/>
      <c r="M64" s="22"/>
    </row>
    <row r="65" spans="2:23" x14ac:dyDescent="0.35">
      <c r="B65" s="10" t="s">
        <v>23</v>
      </c>
      <c r="C65" s="210">
        <f t="shared" si="6"/>
        <v>0</v>
      </c>
      <c r="D65" s="82"/>
      <c r="E65" s="214"/>
      <c r="F65" s="84"/>
      <c r="G65" s="84"/>
      <c r="H65" s="84"/>
      <c r="L65" s="21"/>
      <c r="M65" s="22"/>
    </row>
    <row r="66" spans="2:23" x14ac:dyDescent="0.35">
      <c r="B66" s="10" t="s">
        <v>24</v>
      </c>
      <c r="C66" s="210">
        <f t="shared" si="6"/>
        <v>0</v>
      </c>
      <c r="D66" s="82"/>
      <c r="E66" s="214"/>
      <c r="F66" s="83"/>
      <c r="G66" s="83"/>
      <c r="H66" s="83"/>
      <c r="L66" s="21"/>
      <c r="M66" s="22"/>
    </row>
    <row r="67" spans="2:23" x14ac:dyDescent="0.35">
      <c r="B67" s="10" t="s">
        <v>25</v>
      </c>
      <c r="C67" s="210">
        <f t="shared" si="6"/>
        <v>0</v>
      </c>
      <c r="D67" s="82"/>
      <c r="E67" s="214"/>
      <c r="F67" s="83"/>
      <c r="G67" s="83"/>
      <c r="H67" s="83"/>
      <c r="L67" s="21"/>
      <c r="M67" s="22"/>
    </row>
    <row r="68" spans="2:23" x14ac:dyDescent="0.35">
      <c r="B68" s="185" t="s">
        <v>26</v>
      </c>
      <c r="C68" s="210">
        <f t="shared" si="6"/>
        <v>-503176</v>
      </c>
      <c r="D68" s="181">
        <v>-51816</v>
      </c>
      <c r="E68" s="181">
        <v>-17070</v>
      </c>
      <c r="F68" s="85">
        <v>-29231</v>
      </c>
      <c r="G68" s="85">
        <v>-405059</v>
      </c>
      <c r="H68" s="85"/>
      <c r="L68" s="21"/>
      <c r="M68" s="22"/>
    </row>
    <row r="69" spans="2:23" x14ac:dyDescent="0.35">
      <c r="B69" s="80" t="s">
        <v>27</v>
      </c>
      <c r="C69" s="210">
        <f t="shared" si="6"/>
        <v>0</v>
      </c>
      <c r="D69" s="82"/>
      <c r="E69" s="214"/>
      <c r="F69" s="84"/>
      <c r="G69" s="84"/>
      <c r="H69" s="84"/>
      <c r="L69" s="21"/>
      <c r="M69" s="22"/>
    </row>
    <row r="70" spans="2:23" x14ac:dyDescent="0.35">
      <c r="B70" s="80" t="s">
        <v>27</v>
      </c>
      <c r="C70" s="210">
        <f t="shared" si="6"/>
        <v>0</v>
      </c>
      <c r="D70" s="82"/>
      <c r="E70" s="214"/>
      <c r="F70" s="84"/>
      <c r="G70" s="84"/>
      <c r="H70" s="84"/>
      <c r="L70" s="21"/>
      <c r="M70" s="22"/>
    </row>
    <row r="71" spans="2:23" ht="29" x14ac:dyDescent="0.35">
      <c r="B71" s="268" t="s">
        <v>269</v>
      </c>
      <c r="C71" s="269">
        <f>SUM(D71:H71)</f>
        <v>0</v>
      </c>
      <c r="D71" s="269">
        <v>-3887512</v>
      </c>
      <c r="E71" s="268"/>
      <c r="F71" s="269">
        <v>3887512</v>
      </c>
      <c r="G71" s="268"/>
      <c r="H71" s="268"/>
      <c r="L71" s="21"/>
      <c r="M71" s="22"/>
    </row>
    <row r="72" spans="2:23" x14ac:dyDescent="0.35">
      <c r="B72" s="11" t="s">
        <v>154</v>
      </c>
      <c r="C72" s="6">
        <f t="shared" ref="C72:H72" si="7">SUM(C60:C71)</f>
        <v>58778639</v>
      </c>
      <c r="D72" s="47">
        <f t="shared" si="7"/>
        <v>24244413</v>
      </c>
      <c r="E72" s="47">
        <f t="shared" si="7"/>
        <v>5226258</v>
      </c>
      <c r="F72" s="47">
        <f t="shared" si="7"/>
        <v>28258409</v>
      </c>
      <c r="G72" s="47">
        <f t="shared" si="7"/>
        <v>299559</v>
      </c>
      <c r="H72" s="47">
        <f t="shared" si="7"/>
        <v>750000</v>
      </c>
      <c r="L72" s="21"/>
      <c r="M72" s="22"/>
    </row>
    <row r="73" spans="2:23" x14ac:dyDescent="0.35">
      <c r="L73" s="21"/>
      <c r="M73" s="22"/>
    </row>
    <row r="74" spans="2:23" x14ac:dyDescent="0.35">
      <c r="B74" s="28" t="s">
        <v>162</v>
      </c>
      <c r="C74" s="57">
        <f>+C72-C60-C71</f>
        <v>7057692</v>
      </c>
      <c r="D74" s="57">
        <f>+D72-D60-D71</f>
        <v>2059150</v>
      </c>
      <c r="E74" s="57">
        <f t="shared" ref="E74" si="8">+E72-E60</f>
        <v>1483710</v>
      </c>
      <c r="F74" s="19">
        <f>+F72-F60</f>
        <v>7380388</v>
      </c>
      <c r="G74" s="19">
        <f>+G72-G60</f>
        <v>27270</v>
      </c>
      <c r="H74" s="19">
        <f>+H72-H60</f>
        <v>-5314</v>
      </c>
      <c r="L74" s="21"/>
      <c r="M74" s="22"/>
    </row>
    <row r="75" spans="2:23" x14ac:dyDescent="0.35">
      <c r="B75" s="48" t="s">
        <v>161</v>
      </c>
      <c r="C75" s="224">
        <f>C74/(C60+C71)</f>
        <v>0.13645713022230627</v>
      </c>
      <c r="D75" s="224">
        <f>D74/(D60+D71)</f>
        <v>9.2816118519757906E-2</v>
      </c>
      <c r="E75" s="224">
        <f t="shared" ref="E75:H75" si="9">E74/(E60+E71)</f>
        <v>0.39644381314548272</v>
      </c>
      <c r="F75" s="224">
        <f t="shared" si="9"/>
        <v>0.298010464785878</v>
      </c>
      <c r="G75" s="224">
        <f t="shared" si="9"/>
        <v>0.10015094256470147</v>
      </c>
      <c r="H75" s="224">
        <f t="shared" si="9"/>
        <v>-7.0354845799230521E-3</v>
      </c>
      <c r="L75" s="21"/>
      <c r="M75" s="22"/>
    </row>
    <row r="76" spans="2:23" x14ac:dyDescent="0.35">
      <c r="B76" s="102"/>
      <c r="C76" s="53"/>
      <c r="D76" s="280"/>
      <c r="E76" s="280"/>
      <c r="F76" s="21"/>
      <c r="G76" s="21"/>
      <c r="H76" s="21"/>
      <c r="K76" s="22"/>
      <c r="L76" s="22"/>
      <c r="M76" s="14"/>
      <c r="N76" s="23"/>
      <c r="V76" s="21"/>
      <c r="W76" s="22"/>
    </row>
    <row r="77" spans="2:23" ht="19.899999999999999" customHeight="1" x14ac:dyDescent="0.45">
      <c r="B77" s="86" t="s">
        <v>160</v>
      </c>
      <c r="C77" s="4"/>
      <c r="D77" s="89"/>
      <c r="E77" s="15"/>
      <c r="F77" s="89"/>
      <c r="G77" s="89"/>
      <c r="I77" s="23"/>
      <c r="V77" s="21"/>
      <c r="W77" s="22"/>
    </row>
    <row r="78" spans="2:23" ht="18.5" x14ac:dyDescent="0.45">
      <c r="B78" s="86"/>
      <c r="C78" s="4"/>
      <c r="D78" s="15"/>
      <c r="E78" s="15"/>
      <c r="V78" s="21"/>
      <c r="W78" s="22"/>
    </row>
    <row r="79" spans="2:23" x14ac:dyDescent="0.35">
      <c r="B79" s="88" t="s">
        <v>28</v>
      </c>
      <c r="C79" s="88" t="s">
        <v>29</v>
      </c>
      <c r="D79" s="88" t="s">
        <v>30</v>
      </c>
      <c r="E79" s="15"/>
      <c r="V79" s="21"/>
      <c r="W79" s="22"/>
    </row>
    <row r="80" spans="2:23" x14ac:dyDescent="0.35">
      <c r="B80" s="5" t="s">
        <v>159</v>
      </c>
      <c r="C80" s="81">
        <f>'[20]Income Statement'!$G$37</f>
        <v>57327249.185714275</v>
      </c>
      <c r="D80" s="7"/>
      <c r="E80" s="15"/>
      <c r="V80" s="21"/>
      <c r="W80" s="22"/>
    </row>
    <row r="81" spans="2:22" x14ac:dyDescent="0.35">
      <c r="B81" s="8" t="s">
        <v>31</v>
      </c>
      <c r="C81" s="181">
        <v>640000</v>
      </c>
      <c r="D81" s="9">
        <f>+C81/C$31</f>
        <v>1.1627076921447694E-2</v>
      </c>
      <c r="E81" s="15"/>
      <c r="V81" s="21"/>
    </row>
    <row r="82" spans="2:22" x14ac:dyDescent="0.35">
      <c r="B82" s="185" t="s">
        <v>32</v>
      </c>
      <c r="C82" s="181">
        <v>936471.35750000004</v>
      </c>
      <c r="D82" s="186">
        <f t="shared" ref="D82:D104" si="10">+C82/C$31</f>
        <v>1.7013163294351631E-2</v>
      </c>
      <c r="E82" s="15"/>
      <c r="V82" s="21"/>
    </row>
    <row r="83" spans="2:22" x14ac:dyDescent="0.35">
      <c r="B83" s="185" t="s">
        <v>226</v>
      </c>
      <c r="C83" s="181">
        <v>-936471.35750000004</v>
      </c>
      <c r="D83" s="186">
        <f t="shared" si="10"/>
        <v>-1.7013163294351631E-2</v>
      </c>
      <c r="E83" s="15"/>
      <c r="V83" s="21"/>
    </row>
    <row r="84" spans="2:22" x14ac:dyDescent="0.35">
      <c r="B84" s="10" t="s">
        <v>227</v>
      </c>
      <c r="C84" s="181">
        <v>1544990.1500148401</v>
      </c>
      <c r="D84" s="9">
        <f t="shared" si="10"/>
        <v>2.8068311432971185E-2</v>
      </c>
      <c r="E84" s="15"/>
      <c r="V84" s="21"/>
    </row>
    <row r="85" spans="2:22" x14ac:dyDescent="0.35">
      <c r="B85" s="185" t="s">
        <v>228</v>
      </c>
      <c r="C85" s="181">
        <v>323173.75800000055</v>
      </c>
      <c r="D85" s="186">
        <f t="shared" si="10"/>
        <v>5.8711970988427013E-3</v>
      </c>
      <c r="E85" s="15"/>
      <c r="V85" s="21"/>
    </row>
    <row r="86" spans="2:22" x14ac:dyDescent="0.35">
      <c r="B86" s="185" t="s">
        <v>33</v>
      </c>
      <c r="C86" s="181">
        <v>480889.48421860021</v>
      </c>
      <c r="D86" s="186">
        <f t="shared" si="10"/>
        <v>8.7364672245702681E-3</v>
      </c>
      <c r="E86" s="15"/>
      <c r="V86" s="21"/>
    </row>
    <row r="87" spans="2:22" x14ac:dyDescent="0.35">
      <c r="B87" s="185" t="s">
        <v>34</v>
      </c>
      <c r="C87" s="181">
        <v>-1154430.0199999996</v>
      </c>
      <c r="D87" s="186">
        <f t="shared" si="10"/>
        <v>-2.0972885379638116E-2</v>
      </c>
      <c r="E87" s="54"/>
      <c r="V87" s="21"/>
    </row>
    <row r="88" spans="2:22" x14ac:dyDescent="0.35">
      <c r="B88" s="185" t="s">
        <v>229</v>
      </c>
      <c r="C88" s="181">
        <v>-473969</v>
      </c>
      <c r="D88" s="186">
        <f t="shared" si="10"/>
        <v>-8.6107406584088157E-3</v>
      </c>
      <c r="E88" s="70"/>
      <c r="V88" s="21"/>
    </row>
    <row r="89" spans="2:22" x14ac:dyDescent="0.35">
      <c r="B89" s="10" t="s">
        <v>35</v>
      </c>
      <c r="C89" s="85">
        <v>-508561.22249999992</v>
      </c>
      <c r="D89" s="9">
        <f t="shared" si="10"/>
        <v>-9.2391882082390239E-3</v>
      </c>
      <c r="E89" s="54"/>
    </row>
    <row r="90" spans="2:22" x14ac:dyDescent="0.35">
      <c r="B90" s="10" t="s">
        <v>36</v>
      </c>
      <c r="C90" s="85">
        <v>271987.41873246292</v>
      </c>
      <c r="D90" s="9">
        <f t="shared" si="10"/>
        <v>4.941279123856797E-3</v>
      </c>
      <c r="E90" s="54"/>
    </row>
    <row r="91" spans="2:22" x14ac:dyDescent="0.35">
      <c r="B91" s="10" t="s">
        <v>37</v>
      </c>
      <c r="C91" s="85"/>
      <c r="D91" s="9">
        <f t="shared" si="10"/>
        <v>0</v>
      </c>
      <c r="E91" s="54"/>
    </row>
    <row r="92" spans="2:22" x14ac:dyDescent="0.35">
      <c r="B92" s="80" t="s">
        <v>179</v>
      </c>
      <c r="C92" s="85">
        <v>311660.36999999965</v>
      </c>
      <c r="D92" s="9">
        <f t="shared" ref="D92:D93" si="11">+C92/C$31</f>
        <v>5.662029836495071E-3</v>
      </c>
      <c r="E92" s="54"/>
    </row>
    <row r="93" spans="2:22" x14ac:dyDescent="0.35">
      <c r="B93" s="80" t="s">
        <v>180</v>
      </c>
      <c r="C93" s="85"/>
      <c r="D93" s="9">
        <f t="shared" si="11"/>
        <v>0</v>
      </c>
      <c r="E93" s="54"/>
    </row>
    <row r="94" spans="2:22" x14ac:dyDescent="0.35">
      <c r="B94" s="80" t="s">
        <v>181</v>
      </c>
      <c r="C94" s="85">
        <v>31239</v>
      </c>
      <c r="D94" s="9">
        <f t="shared" si="10"/>
        <v>5.6752852492047588E-4</v>
      </c>
      <c r="E94" s="54"/>
    </row>
    <row r="95" spans="2:22" x14ac:dyDescent="0.35">
      <c r="B95" s="80" t="s">
        <v>182</v>
      </c>
      <c r="C95" s="85">
        <v>368656.41499999969</v>
      </c>
      <c r="D95" s="9">
        <f t="shared" ref="D95:D103" si="12">+C95/C$31</f>
        <v>6.6974945231095939E-3</v>
      </c>
      <c r="E95" s="54"/>
    </row>
    <row r="96" spans="2:22" x14ac:dyDescent="0.35">
      <c r="B96" s="225" t="s">
        <v>243</v>
      </c>
      <c r="C96" s="181">
        <v>294046</v>
      </c>
      <c r="D96" s="186">
        <f t="shared" si="12"/>
        <v>5.3420241569437634E-3</v>
      </c>
      <c r="E96" s="54"/>
    </row>
    <row r="97" spans="2:16" x14ac:dyDescent="0.35">
      <c r="B97" s="80" t="s">
        <v>248</v>
      </c>
      <c r="C97" s="85">
        <v>121192</v>
      </c>
      <c r="D97" s="9">
        <f t="shared" si="12"/>
        <v>2.2017323535376389E-3</v>
      </c>
      <c r="E97" s="54"/>
    </row>
    <row r="98" spans="2:16" x14ac:dyDescent="0.35">
      <c r="B98" s="80" t="s">
        <v>249</v>
      </c>
      <c r="C98" s="85">
        <v>79249</v>
      </c>
      <c r="D98" s="9">
        <f t="shared" si="12"/>
        <v>1.4397409671059506E-3</v>
      </c>
      <c r="E98" s="54"/>
    </row>
    <row r="99" spans="2:16" x14ac:dyDescent="0.35">
      <c r="B99" s="80" t="s">
        <v>250</v>
      </c>
      <c r="C99" s="85">
        <v>64160</v>
      </c>
      <c r="D99" s="9">
        <f t="shared" si="12"/>
        <v>1.1656144613751314E-3</v>
      </c>
      <c r="E99" s="54"/>
    </row>
    <row r="100" spans="2:16" x14ac:dyDescent="0.35">
      <c r="B100" s="80" t="s">
        <v>251</v>
      </c>
      <c r="C100" s="85">
        <v>50095</v>
      </c>
      <c r="D100" s="9">
        <f t="shared" si="12"/>
        <v>9.100912787186285E-4</v>
      </c>
      <c r="E100" s="54"/>
    </row>
    <row r="101" spans="2:16" x14ac:dyDescent="0.35">
      <c r="B101" s="80" t="s">
        <v>252</v>
      </c>
      <c r="C101" s="85">
        <v>42638</v>
      </c>
      <c r="D101" s="9">
        <f t="shared" si="12"/>
        <v>7.7461766527607318E-4</v>
      </c>
      <c r="E101" s="54"/>
    </row>
    <row r="102" spans="2:16" x14ac:dyDescent="0.35">
      <c r="B102" s="80" t="s">
        <v>254</v>
      </c>
      <c r="C102" s="85">
        <v>32591</v>
      </c>
      <c r="D102" s="9">
        <f t="shared" si="12"/>
        <v>5.9209072491703404E-4</v>
      </c>
      <c r="E102" s="54"/>
    </row>
    <row r="103" spans="2:16" x14ac:dyDescent="0.35">
      <c r="B103" s="80" t="s">
        <v>253</v>
      </c>
      <c r="C103" s="85">
        <v>24718</v>
      </c>
      <c r="D103" s="9">
        <f t="shared" si="12"/>
        <v>4.4905951147553768E-4</v>
      </c>
      <c r="E103" s="54"/>
    </row>
    <row r="104" spans="2:16" x14ac:dyDescent="0.35">
      <c r="B104" s="80" t="s">
        <v>38</v>
      </c>
      <c r="C104" s="85">
        <v>15653</v>
      </c>
      <c r="D104" s="9">
        <f t="shared" si="10"/>
        <v>2.8437286726784496E-4</v>
      </c>
      <c r="E104" s="54"/>
    </row>
    <row r="105" spans="2:16" x14ac:dyDescent="0.35">
      <c r="B105" s="11" t="s">
        <v>154</v>
      </c>
      <c r="C105" s="12">
        <f>SUM(C80:C104)</f>
        <v>59887227.539180174</v>
      </c>
      <c r="D105" s="13">
        <f>SUM(D81:D104)</f>
        <v>4.6507914426545435E-2</v>
      </c>
      <c r="E105" s="180">
        <f>'[20]Income Statement'!$U$37</f>
        <v>59887227.505730182</v>
      </c>
      <c r="F105" s="23">
        <f>E105-C105</f>
        <v>-3.3449992537498474E-2</v>
      </c>
    </row>
    <row r="106" spans="2:16" x14ac:dyDescent="0.35">
      <c r="E106" s="50"/>
    </row>
    <row r="107" spans="2:16" x14ac:dyDescent="0.35">
      <c r="B107" s="28" t="s">
        <v>162</v>
      </c>
      <c r="C107" s="57">
        <f>+C105-C80</f>
        <v>2559978.3534658998</v>
      </c>
      <c r="E107" s="50"/>
    </row>
    <row r="108" spans="2:16" x14ac:dyDescent="0.35">
      <c r="B108" s="48" t="s">
        <v>161</v>
      </c>
      <c r="C108" s="224">
        <f>(C107)/C80</f>
        <v>4.4655524027896951E-2</v>
      </c>
      <c r="E108" s="50"/>
    </row>
    <row r="109" spans="2:16" x14ac:dyDescent="0.35">
      <c r="B109" s="102"/>
      <c r="C109" s="53"/>
      <c r="D109" s="53"/>
      <c r="E109" s="53"/>
      <c r="F109" s="53"/>
      <c r="G109" s="53"/>
      <c r="H109" s="53"/>
      <c r="O109" s="21"/>
      <c r="P109" s="22"/>
    </row>
  </sheetData>
  <mergeCells count="7">
    <mergeCell ref="A61:A64"/>
    <mergeCell ref="B2:O2"/>
    <mergeCell ref="B3:O3"/>
    <mergeCell ref="B6:O6"/>
    <mergeCell ref="B4:O4"/>
    <mergeCell ref="B54:O54"/>
    <mergeCell ref="A12:A19"/>
  </mergeCells>
  <pageMargins left="0.7" right="0.7" top="0.5" bottom="0.5" header="0.3" footer="0.3"/>
  <pageSetup scale="48" fitToHeight="4" orientation="landscape" r:id="rId1"/>
  <headerFooter>
    <oddFooter>&amp;L&amp;D&amp;R&amp;F,&amp;A</oddFooter>
  </headerFooter>
  <rowBreaks count="1" manualBreakCount="1">
    <brk id="53" min="1" max="1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rgb="FFFF0000"/>
    <pageSetUpPr fitToPage="1"/>
  </sheetPr>
  <dimension ref="B2:K86"/>
  <sheetViews>
    <sheetView showGridLines="0" topLeftCell="A53" zoomScale="80" zoomScaleNormal="80" workbookViewId="0">
      <selection activeCell="L63" sqref="L63"/>
    </sheetView>
  </sheetViews>
  <sheetFormatPr defaultColWidth="8.81640625" defaultRowHeight="14.5" x14ac:dyDescent="0.35"/>
  <cols>
    <col min="1" max="1" width="6.54296875" style="1" customWidth="1"/>
    <col min="2" max="2" width="34.81640625" style="1" customWidth="1"/>
    <col min="3" max="3" width="19.453125" style="1" customWidth="1"/>
    <col min="4" max="7" width="17.7265625" style="1" customWidth="1"/>
    <col min="8" max="8" width="17.7265625" style="55" customWidth="1"/>
    <col min="9" max="11" width="17.7265625" style="1" customWidth="1"/>
    <col min="12" max="16384" width="8.81640625" style="1"/>
  </cols>
  <sheetData>
    <row r="2" spans="2:11" x14ac:dyDescent="0.35">
      <c r="B2" s="287" t="s">
        <v>41</v>
      </c>
      <c r="C2" s="287"/>
      <c r="D2" s="287"/>
      <c r="E2" s="287"/>
      <c r="F2" s="287"/>
      <c r="G2" s="287"/>
      <c r="H2" s="287"/>
      <c r="I2" s="287"/>
    </row>
    <row r="3" spans="2:11" ht="18.5" x14ac:dyDescent="0.45">
      <c r="B3" s="320" t="s">
        <v>9</v>
      </c>
      <c r="C3" s="321"/>
      <c r="D3" s="321"/>
      <c r="E3" s="321"/>
      <c r="F3" s="321"/>
      <c r="G3" s="321"/>
      <c r="H3" s="321"/>
      <c r="I3" s="322"/>
    </row>
    <row r="4" spans="2:11" ht="18.5" x14ac:dyDescent="0.45">
      <c r="B4" s="323" t="s">
        <v>42</v>
      </c>
      <c r="C4" s="324"/>
      <c r="D4" s="324"/>
      <c r="E4" s="324"/>
      <c r="F4" s="324"/>
      <c r="G4" s="324"/>
      <c r="H4" s="324"/>
      <c r="I4" s="325"/>
    </row>
    <row r="5" spans="2:11" ht="34.9" customHeight="1" x14ac:dyDescent="0.35">
      <c r="B5" s="319" t="s">
        <v>43</v>
      </c>
      <c r="C5" s="319"/>
      <c r="D5" s="319"/>
      <c r="E5" s="319"/>
      <c r="F5" s="319"/>
      <c r="G5" s="319"/>
      <c r="H5" s="103"/>
    </row>
    <row r="6" spans="2:11" x14ac:dyDescent="0.35">
      <c r="B6" s="104"/>
      <c r="C6" s="104"/>
      <c r="D6" s="104"/>
      <c r="E6" s="104"/>
      <c r="F6" s="104"/>
      <c r="G6" s="104"/>
      <c r="H6" s="103"/>
    </row>
    <row r="7" spans="2:11" ht="29.5" customHeight="1" x14ac:dyDescent="0.35">
      <c r="B7" s="326" t="s">
        <v>177</v>
      </c>
      <c r="C7" s="327"/>
      <c r="D7" s="327"/>
      <c r="E7" s="327"/>
      <c r="F7" s="328"/>
      <c r="H7" s="1"/>
    </row>
    <row r="8" spans="2:11" x14ac:dyDescent="0.35">
      <c r="B8" s="329" t="s">
        <v>44</v>
      </c>
      <c r="C8" s="330"/>
      <c r="D8" s="330"/>
      <c r="E8" s="330"/>
      <c r="F8" s="331"/>
      <c r="H8" s="1"/>
    </row>
    <row r="9" spans="2:11" ht="42.75" customHeight="1" x14ac:dyDescent="0.35">
      <c r="B9" s="3" t="s">
        <v>45</v>
      </c>
      <c r="C9" s="43" t="s">
        <v>46</v>
      </c>
      <c r="D9" s="43" t="s">
        <v>47</v>
      </c>
      <c r="E9" s="43" t="s">
        <v>163</v>
      </c>
      <c r="F9" s="43" t="s">
        <v>164</v>
      </c>
      <c r="H9" s="1"/>
    </row>
    <row r="10" spans="2:11" x14ac:dyDescent="0.35">
      <c r="B10" s="3"/>
      <c r="C10" s="3"/>
      <c r="D10" s="43"/>
      <c r="E10" s="3"/>
      <c r="F10" s="43"/>
      <c r="H10" s="1"/>
    </row>
    <row r="11" spans="2:11" x14ac:dyDescent="0.35">
      <c r="B11" s="3" t="s">
        <v>48</v>
      </c>
      <c r="C11" s="188">
        <v>1715303</v>
      </c>
      <c r="D11" s="109">
        <v>8.3000000000000004E-2</v>
      </c>
      <c r="E11" s="188">
        <v>2285396.9570500739</v>
      </c>
      <c r="F11" s="109" t="e">
        <f>#REF!</f>
        <v>#REF!</v>
      </c>
      <c r="H11" s="1"/>
    </row>
    <row r="12" spans="2:11" x14ac:dyDescent="0.35">
      <c r="B12" s="3" t="s">
        <v>49</v>
      </c>
      <c r="C12" s="188">
        <v>6454644</v>
      </c>
      <c r="D12" s="109">
        <v>8.3000000000000004E-2</v>
      </c>
      <c r="E12" s="188">
        <v>8448863.5476623476</v>
      </c>
      <c r="F12" s="109" t="e">
        <f>F11</f>
        <v>#REF!</v>
      </c>
      <c r="H12" s="1"/>
    </row>
    <row r="13" spans="2:11" x14ac:dyDescent="0.35">
      <c r="B13" s="3" t="s">
        <v>50</v>
      </c>
      <c r="C13" s="188">
        <v>1031170</v>
      </c>
      <c r="D13" s="109">
        <v>8.3000000000000004E-2</v>
      </c>
      <c r="E13" s="188">
        <v>1237745.2800086904</v>
      </c>
      <c r="F13" s="109" t="e">
        <f>F12</f>
        <v>#REF!</v>
      </c>
      <c r="H13" s="1"/>
    </row>
    <row r="14" spans="2:11" x14ac:dyDescent="0.35">
      <c r="B14" s="3" t="s">
        <v>27</v>
      </c>
      <c r="C14" s="188">
        <v>0</v>
      </c>
      <c r="D14" s="189">
        <v>0</v>
      </c>
      <c r="E14" s="188"/>
      <c r="F14" s="44">
        <v>0</v>
      </c>
      <c r="H14" s="1"/>
      <c r="K14" s="227">
        <f>+E15</f>
        <v>11972005.784721112</v>
      </c>
    </row>
    <row r="15" spans="2:11" ht="29" x14ac:dyDescent="0.35">
      <c r="B15" s="52" t="s">
        <v>51</v>
      </c>
      <c r="C15" s="124">
        <f>SUM(C11:C14)</f>
        <v>9201117</v>
      </c>
      <c r="D15" s="154">
        <v>0</v>
      </c>
      <c r="E15" s="124">
        <f>SUM(E11:E14)</f>
        <v>11972005.784721112</v>
      </c>
      <c r="F15" s="187" t="e">
        <f>F13</f>
        <v>#REF!</v>
      </c>
      <c r="H15" s="1"/>
      <c r="K15" s="1">
        <f>+'1. Reconciliation'!C19</f>
        <v>-632143</v>
      </c>
    </row>
    <row r="16" spans="2:11" s="55" customFormat="1" x14ac:dyDescent="0.35">
      <c r="B16" s="105"/>
      <c r="C16" s="56"/>
      <c r="D16" s="56"/>
      <c r="E16" s="56"/>
      <c r="F16" s="56"/>
      <c r="G16" s="56"/>
      <c r="H16" s="56"/>
    </row>
    <row r="17" spans="2:11" s="55" customFormat="1" hidden="1" x14ac:dyDescent="0.35">
      <c r="B17" s="326" t="s">
        <v>187</v>
      </c>
      <c r="C17" s="327"/>
      <c r="D17" s="327"/>
      <c r="E17" s="327"/>
      <c r="F17" s="328"/>
      <c r="G17" s="155"/>
      <c r="H17" s="155"/>
      <c r="I17" s="97"/>
      <c r="J17" s="97"/>
      <c r="K17" s="97"/>
    </row>
    <row r="18" spans="2:11" s="55" customFormat="1" hidden="1" x14ac:dyDescent="0.35">
      <c r="B18" s="329" t="s">
        <v>197</v>
      </c>
      <c r="C18" s="330"/>
      <c r="D18" s="330"/>
      <c r="E18" s="330"/>
      <c r="F18" s="331"/>
      <c r="G18" s="155"/>
      <c r="H18" s="155"/>
      <c r="I18" s="97"/>
      <c r="J18" s="97"/>
      <c r="K18" s="97"/>
    </row>
    <row r="19" spans="2:11" s="55" customFormat="1" hidden="1" x14ac:dyDescent="0.35">
      <c r="B19" s="3" t="s">
        <v>45</v>
      </c>
      <c r="C19" s="43" t="s">
        <v>188</v>
      </c>
      <c r="D19" s="43" t="s">
        <v>189</v>
      </c>
      <c r="E19" s="43" t="s">
        <v>190</v>
      </c>
      <c r="F19" s="43" t="s">
        <v>191</v>
      </c>
      <c r="G19" s="155"/>
      <c r="H19" s="155"/>
      <c r="I19" s="97"/>
      <c r="J19" s="97"/>
      <c r="K19" s="97"/>
    </row>
    <row r="20" spans="2:11" s="55" customFormat="1" hidden="1" x14ac:dyDescent="0.35">
      <c r="B20" s="3"/>
      <c r="C20" s="3"/>
      <c r="D20" s="43"/>
      <c r="E20" s="3"/>
      <c r="F20" s="43"/>
      <c r="G20" s="155"/>
      <c r="H20" s="155"/>
      <c r="I20" s="97"/>
      <c r="J20" s="97"/>
      <c r="K20" s="97"/>
    </row>
    <row r="21" spans="2:11" s="55" customFormat="1" hidden="1" x14ac:dyDescent="0.35">
      <c r="B21" s="3" t="s">
        <v>48</v>
      </c>
      <c r="C21" s="123">
        <v>0</v>
      </c>
      <c r="D21" s="123">
        <v>0</v>
      </c>
      <c r="E21" s="123">
        <v>0</v>
      </c>
      <c r="F21" s="123">
        <v>0</v>
      </c>
      <c r="G21" s="155"/>
      <c r="H21" s="155"/>
      <c r="I21" s="97"/>
      <c r="J21" s="97"/>
      <c r="K21" s="97"/>
    </row>
    <row r="22" spans="2:11" s="55" customFormat="1" hidden="1" x14ac:dyDescent="0.35">
      <c r="B22" s="3" t="s">
        <v>49</v>
      </c>
      <c r="C22" s="123">
        <v>0</v>
      </c>
      <c r="D22" s="123">
        <v>0</v>
      </c>
      <c r="E22" s="123">
        <v>0</v>
      </c>
      <c r="F22" s="123">
        <v>0</v>
      </c>
      <c r="G22" s="155"/>
      <c r="H22" s="155"/>
      <c r="I22" s="97"/>
      <c r="J22" s="97"/>
      <c r="K22" s="97"/>
    </row>
    <row r="23" spans="2:11" s="55" customFormat="1" hidden="1" x14ac:dyDescent="0.35">
      <c r="B23" s="3" t="s">
        <v>50</v>
      </c>
      <c r="C23" s="123">
        <v>0</v>
      </c>
      <c r="D23" s="123">
        <v>0</v>
      </c>
      <c r="E23" s="123">
        <v>0</v>
      </c>
      <c r="F23" s="123">
        <v>0</v>
      </c>
      <c r="G23" s="155"/>
      <c r="H23" s="155"/>
      <c r="I23" s="97"/>
      <c r="J23" s="97"/>
      <c r="K23" s="97"/>
    </row>
    <row r="24" spans="2:11" s="55" customFormat="1" hidden="1" x14ac:dyDescent="0.35">
      <c r="B24" s="3" t="s">
        <v>27</v>
      </c>
      <c r="C24" s="123">
        <v>0</v>
      </c>
      <c r="D24" s="123">
        <v>0</v>
      </c>
      <c r="E24" s="123">
        <v>0</v>
      </c>
      <c r="F24" s="123">
        <v>0</v>
      </c>
      <c r="G24" s="155"/>
      <c r="H24" s="155"/>
      <c r="I24" s="97"/>
      <c r="J24" s="97"/>
      <c r="K24" s="97"/>
    </row>
    <row r="25" spans="2:11" s="55" customFormat="1" ht="29" hidden="1" x14ac:dyDescent="0.35">
      <c r="B25" s="52" t="s">
        <v>51</v>
      </c>
      <c r="C25" s="124">
        <f>SUM(C21:C24)</f>
        <v>0</v>
      </c>
      <c r="D25" s="124">
        <v>0</v>
      </c>
      <c r="E25" s="124">
        <f>SUM(E21:E24)</f>
        <v>0</v>
      </c>
      <c r="F25" s="124">
        <v>0</v>
      </c>
      <c r="G25" s="155"/>
      <c r="H25" s="155"/>
      <c r="I25" s="97"/>
      <c r="J25" s="97"/>
      <c r="K25" s="97"/>
    </row>
    <row r="26" spans="2:11" s="55" customFormat="1" hidden="1" x14ac:dyDescent="0.35">
      <c r="B26" s="105"/>
      <c r="C26" s="56"/>
      <c r="D26" s="56"/>
      <c r="E26" s="56"/>
      <c r="F26" s="56"/>
      <c r="G26" s="155"/>
      <c r="H26" s="155"/>
      <c r="I26" s="97"/>
      <c r="J26" s="97"/>
      <c r="K26" s="97"/>
    </row>
    <row r="27" spans="2:11" s="55" customFormat="1" hidden="1" x14ac:dyDescent="0.35">
      <c r="B27" s="326" t="s">
        <v>192</v>
      </c>
      <c r="C27" s="327"/>
      <c r="D27" s="327"/>
      <c r="E27" s="327"/>
      <c r="F27" s="328"/>
      <c r="G27" s="155"/>
      <c r="H27" s="155"/>
      <c r="I27" s="97"/>
      <c r="J27" s="97"/>
      <c r="K27" s="97"/>
    </row>
    <row r="28" spans="2:11" s="55" customFormat="1" hidden="1" x14ac:dyDescent="0.35">
      <c r="B28" s="329" t="s">
        <v>198</v>
      </c>
      <c r="C28" s="330"/>
      <c r="D28" s="330"/>
      <c r="E28" s="330"/>
      <c r="F28" s="331"/>
      <c r="G28" s="155"/>
      <c r="H28" s="155"/>
      <c r="I28" s="97"/>
      <c r="J28" s="97"/>
      <c r="K28" s="97"/>
    </row>
    <row r="29" spans="2:11" s="55" customFormat="1" hidden="1" x14ac:dyDescent="0.35">
      <c r="B29" s="3" t="s">
        <v>45</v>
      </c>
      <c r="C29" s="43" t="s">
        <v>193</v>
      </c>
      <c r="D29" s="43" t="s">
        <v>194</v>
      </c>
      <c r="E29" s="43" t="s">
        <v>195</v>
      </c>
      <c r="F29" s="43" t="s">
        <v>196</v>
      </c>
      <c r="G29" s="155"/>
      <c r="H29" s="155"/>
      <c r="I29" s="97"/>
      <c r="J29" s="97"/>
      <c r="K29" s="97"/>
    </row>
    <row r="30" spans="2:11" s="55" customFormat="1" hidden="1" x14ac:dyDescent="0.35">
      <c r="B30" s="3"/>
      <c r="C30" s="3"/>
      <c r="D30" s="43"/>
      <c r="E30" s="3"/>
      <c r="F30" s="43"/>
      <c r="G30" s="155"/>
      <c r="H30" s="155"/>
      <c r="I30" s="97"/>
      <c r="J30" s="97"/>
      <c r="K30" s="97"/>
    </row>
    <row r="31" spans="2:11" s="55" customFormat="1" hidden="1" x14ac:dyDescent="0.35">
      <c r="B31" s="3" t="s">
        <v>48</v>
      </c>
      <c r="C31" s="123">
        <v>0</v>
      </c>
      <c r="D31" s="123">
        <v>0</v>
      </c>
      <c r="E31" s="123">
        <v>0</v>
      </c>
      <c r="F31" s="123">
        <v>0</v>
      </c>
      <c r="G31" s="155"/>
      <c r="H31" s="155"/>
      <c r="I31" s="97"/>
      <c r="J31" s="97"/>
      <c r="K31" s="97"/>
    </row>
    <row r="32" spans="2:11" s="55" customFormat="1" hidden="1" x14ac:dyDescent="0.35">
      <c r="B32" s="3" t="s">
        <v>49</v>
      </c>
      <c r="C32" s="123">
        <v>0</v>
      </c>
      <c r="D32" s="123">
        <v>0</v>
      </c>
      <c r="E32" s="123">
        <v>0</v>
      </c>
      <c r="F32" s="123">
        <v>0</v>
      </c>
      <c r="G32" s="155"/>
      <c r="H32" s="155"/>
      <c r="I32" s="97"/>
      <c r="J32" s="97"/>
      <c r="K32" s="97"/>
    </row>
    <row r="33" spans="2:11" s="55" customFormat="1" hidden="1" x14ac:dyDescent="0.35">
      <c r="B33" s="3" t="s">
        <v>50</v>
      </c>
      <c r="C33" s="123">
        <v>0</v>
      </c>
      <c r="D33" s="123">
        <v>0</v>
      </c>
      <c r="E33" s="123">
        <v>0</v>
      </c>
      <c r="F33" s="123">
        <v>0</v>
      </c>
      <c r="G33" s="155"/>
      <c r="H33" s="155"/>
      <c r="I33" s="97"/>
      <c r="J33" s="97"/>
      <c r="K33" s="97"/>
    </row>
    <row r="34" spans="2:11" s="55" customFormat="1" hidden="1" x14ac:dyDescent="0.35">
      <c r="B34" s="3" t="s">
        <v>27</v>
      </c>
      <c r="C34" s="123">
        <v>0</v>
      </c>
      <c r="D34" s="123">
        <v>0</v>
      </c>
      <c r="E34" s="123">
        <v>0</v>
      </c>
      <c r="F34" s="123">
        <v>0</v>
      </c>
      <c r="G34" s="155"/>
      <c r="H34" s="155"/>
      <c r="I34" s="97"/>
      <c r="J34" s="97"/>
      <c r="K34" s="97"/>
    </row>
    <row r="35" spans="2:11" s="55" customFormat="1" ht="29" hidden="1" x14ac:dyDescent="0.35">
      <c r="B35" s="52" t="s">
        <v>51</v>
      </c>
      <c r="C35" s="124">
        <f>SUM(C31:C34)</f>
        <v>0</v>
      </c>
      <c r="D35" s="124">
        <v>0</v>
      </c>
      <c r="E35" s="124">
        <f>SUM(E31:E34)</f>
        <v>0</v>
      </c>
      <c r="F35" s="124">
        <v>0</v>
      </c>
      <c r="G35" s="155"/>
      <c r="H35" s="155"/>
      <c r="I35" s="97"/>
      <c r="J35" s="97"/>
      <c r="K35" s="97"/>
    </row>
    <row r="36" spans="2:11" s="55" customFormat="1" x14ac:dyDescent="0.35">
      <c r="B36" s="105"/>
      <c r="C36" s="56"/>
      <c r="D36" s="56"/>
      <c r="E36" s="56"/>
      <c r="F36" s="56"/>
      <c r="G36" s="56"/>
      <c r="H36" s="56"/>
    </row>
    <row r="37" spans="2:11" ht="45" customHeight="1" x14ac:dyDescent="0.35">
      <c r="B37" s="314" t="s">
        <v>52</v>
      </c>
      <c r="C37" s="315"/>
      <c r="D37" s="315"/>
      <c r="E37" s="315"/>
      <c r="F37" s="315"/>
      <c r="G37" s="315"/>
      <c r="H37" s="315"/>
      <c r="I37" s="315"/>
      <c r="J37" s="316"/>
    </row>
    <row r="38" spans="2:11" x14ac:dyDescent="0.35">
      <c r="B38" s="308" t="s">
        <v>53</v>
      </c>
      <c r="C38" s="303"/>
      <c r="D38" s="303"/>
      <c r="E38" s="303"/>
      <c r="F38" s="303"/>
      <c r="G38" s="303"/>
      <c r="H38" s="303"/>
      <c r="I38" s="303"/>
      <c r="J38" s="304"/>
    </row>
    <row r="39" spans="2:11" ht="42.75" customHeight="1" x14ac:dyDescent="0.35">
      <c r="B39" s="3" t="s">
        <v>45</v>
      </c>
      <c r="C39" s="43" t="s">
        <v>165</v>
      </c>
      <c r="D39" s="43" t="s">
        <v>54</v>
      </c>
      <c r="E39" s="43" t="s">
        <v>166</v>
      </c>
      <c r="F39" s="312" t="s">
        <v>55</v>
      </c>
      <c r="G39" s="313"/>
      <c r="H39" s="106" t="s">
        <v>56</v>
      </c>
      <c r="I39" s="106" t="s">
        <v>57</v>
      </c>
      <c r="J39" s="106" t="s">
        <v>58</v>
      </c>
    </row>
    <row r="40" spans="2:11" x14ac:dyDescent="0.35">
      <c r="B40" s="3"/>
      <c r="C40" s="43"/>
      <c r="D40" s="107"/>
      <c r="E40" s="43"/>
      <c r="F40" s="43" t="s">
        <v>59</v>
      </c>
      <c r="G40" s="43" t="s">
        <v>60</v>
      </c>
      <c r="H40" s="43"/>
      <c r="I40" s="43"/>
      <c r="J40" s="43"/>
    </row>
    <row r="41" spans="2:11" x14ac:dyDescent="0.35">
      <c r="B41" s="3" t="s">
        <v>48</v>
      </c>
      <c r="C41" s="108">
        <v>22381611.87770965</v>
      </c>
      <c r="D41" s="109">
        <f>(E41/C41)-1</f>
        <v>0.13352939630173677</v>
      </c>
      <c r="E41" s="272">
        <f>SUM(F41:J41)</f>
        <v>25370215</v>
      </c>
      <c r="F41" s="272">
        <v>3778970</v>
      </c>
      <c r="G41" s="272">
        <v>0</v>
      </c>
      <c r="H41" s="272">
        <v>480436</v>
      </c>
      <c r="I41" s="272">
        <v>3674216</v>
      </c>
      <c r="J41" s="272">
        <v>17436593</v>
      </c>
    </row>
    <row r="42" spans="2:11" x14ac:dyDescent="0.35">
      <c r="B42" s="3" t="s">
        <v>49</v>
      </c>
      <c r="C42" s="108">
        <v>84221445.424313337</v>
      </c>
      <c r="D42" s="109">
        <f t="shared" ref="D42:D45" si="0">(E42/C42)-1</f>
        <v>0.11362277775541618</v>
      </c>
      <c r="E42" s="272">
        <f t="shared" ref="E42:E43" si="1">SUM(F42:J42)</f>
        <v>93790920</v>
      </c>
      <c r="F42" s="272">
        <v>32330012</v>
      </c>
      <c r="G42" s="272">
        <v>0</v>
      </c>
      <c r="H42" s="272">
        <v>2565088</v>
      </c>
      <c r="I42" s="272">
        <v>16802456</v>
      </c>
      <c r="J42" s="272">
        <v>42093364</v>
      </c>
      <c r="K42" s="101"/>
    </row>
    <row r="43" spans="2:11" x14ac:dyDescent="0.35">
      <c r="B43" s="3" t="s">
        <v>50</v>
      </c>
      <c r="C43" s="108">
        <v>13454902.096589975</v>
      </c>
      <c r="D43" s="109">
        <f t="shared" si="0"/>
        <v>2.1205721257707033E-2</v>
      </c>
      <c r="E43" s="272">
        <f t="shared" si="1"/>
        <v>13740223</v>
      </c>
      <c r="F43" s="272">
        <v>4597316</v>
      </c>
      <c r="G43" s="272">
        <v>0</v>
      </c>
      <c r="H43" s="272">
        <v>369809</v>
      </c>
      <c r="I43" s="272">
        <v>2437164</v>
      </c>
      <c r="J43" s="272">
        <v>6335934</v>
      </c>
    </row>
    <row r="44" spans="2:11" x14ac:dyDescent="0.35">
      <c r="B44" s="3" t="s">
        <v>27</v>
      </c>
      <c r="C44" s="108"/>
      <c r="D44" s="109"/>
      <c r="E44" s="74">
        <f t="shared" ref="E44" si="2">SUM(F44:J44)</f>
        <v>0</v>
      </c>
      <c r="F44" s="74"/>
      <c r="G44" s="74"/>
      <c r="H44" s="74"/>
      <c r="I44" s="74"/>
      <c r="J44" s="74"/>
    </row>
    <row r="45" spans="2:11" ht="29" x14ac:dyDescent="0.35">
      <c r="B45" s="52" t="s">
        <v>61</v>
      </c>
      <c r="C45" s="110">
        <f>SUM(C41:C44)</f>
        <v>120057959.39861298</v>
      </c>
      <c r="D45" s="111">
        <f t="shared" si="0"/>
        <v>0.1069766524911917</v>
      </c>
      <c r="E45" s="110">
        <f t="shared" ref="E45" si="3">SUM(E41:E44)</f>
        <v>132901358</v>
      </c>
      <c r="F45" s="75">
        <f t="shared" ref="F45:J45" si="4">SUM(F41:F44)</f>
        <v>40706298</v>
      </c>
      <c r="G45" s="75">
        <f t="shared" si="4"/>
        <v>0</v>
      </c>
      <c r="H45" s="75">
        <f t="shared" si="4"/>
        <v>3415333</v>
      </c>
      <c r="I45" s="75">
        <f t="shared" si="4"/>
        <v>22913836</v>
      </c>
      <c r="J45" s="75">
        <f t="shared" si="4"/>
        <v>65865891</v>
      </c>
    </row>
    <row r="46" spans="2:11" s="55" customFormat="1" x14ac:dyDescent="0.35">
      <c r="B46" s="105"/>
      <c r="C46" s="56" t="s">
        <v>62</v>
      </c>
      <c r="D46" s="56"/>
      <c r="E46" s="56" t="s">
        <v>62</v>
      </c>
      <c r="F46" s="114" t="s">
        <v>258</v>
      </c>
      <c r="G46" s="56"/>
      <c r="H46" s="56"/>
    </row>
    <row r="47" spans="2:11" s="55" customFormat="1" x14ac:dyDescent="0.35">
      <c r="B47" s="105"/>
      <c r="C47" s="56"/>
      <c r="D47" s="56"/>
      <c r="E47" s="56"/>
      <c r="F47" s="190"/>
      <c r="G47" s="56"/>
      <c r="H47" s="56"/>
    </row>
    <row r="48" spans="2:11" s="55" customFormat="1" ht="23.5" customHeight="1" x14ac:dyDescent="0.35">
      <c r="B48" s="314" t="s">
        <v>178</v>
      </c>
      <c r="C48" s="315"/>
      <c r="D48" s="315"/>
      <c r="E48" s="315"/>
      <c r="F48" s="315"/>
      <c r="G48" s="315"/>
      <c r="H48" s="315"/>
      <c r="I48" s="315"/>
      <c r="J48" s="316"/>
    </row>
    <row r="49" spans="2:11" x14ac:dyDescent="0.35">
      <c r="B49" s="308" t="s">
        <v>63</v>
      </c>
      <c r="C49" s="303"/>
      <c r="D49" s="303"/>
      <c r="E49" s="303"/>
      <c r="F49" s="303"/>
      <c r="G49" s="303"/>
      <c r="H49" s="303"/>
      <c r="I49" s="303"/>
      <c r="J49" s="304"/>
    </row>
    <row r="50" spans="2:11" ht="42.75" customHeight="1" x14ac:dyDescent="0.35">
      <c r="B50" s="234" t="s">
        <v>64</v>
      </c>
      <c r="C50" s="234" t="s">
        <v>66</v>
      </c>
      <c r="D50" s="235" t="s">
        <v>65</v>
      </c>
      <c r="E50" s="235" t="s">
        <v>167</v>
      </c>
      <c r="F50" s="317" t="s">
        <v>67</v>
      </c>
      <c r="G50" s="318"/>
      <c r="H50" s="235" t="s">
        <v>68</v>
      </c>
      <c r="I50" s="235" t="s">
        <v>69</v>
      </c>
      <c r="J50" s="235" t="s">
        <v>70</v>
      </c>
      <c r="K50" s="2"/>
    </row>
    <row r="51" spans="2:11" ht="15.75" customHeight="1" x14ac:dyDescent="0.35">
      <c r="B51" s="3"/>
      <c r="C51" s="3"/>
      <c r="D51" s="3"/>
      <c r="E51" s="43"/>
      <c r="F51" s="43" t="s">
        <v>59</v>
      </c>
      <c r="G51" s="43" t="s">
        <v>60</v>
      </c>
      <c r="H51" s="43"/>
      <c r="I51" s="43"/>
      <c r="J51" s="43"/>
      <c r="K51" s="2"/>
    </row>
    <row r="52" spans="2:11" x14ac:dyDescent="0.35">
      <c r="B52" s="3" t="s">
        <v>48</v>
      </c>
      <c r="C52" s="275">
        <v>13703375</v>
      </c>
      <c r="D52" s="275">
        <f>+E52-C52</f>
        <v>591325</v>
      </c>
      <c r="E52" s="276">
        <f>SUM(F52:J52)</f>
        <v>14294700</v>
      </c>
      <c r="F52" s="275">
        <v>2406664</v>
      </c>
      <c r="G52" s="275">
        <v>0</v>
      </c>
      <c r="H52" s="275">
        <v>480436</v>
      </c>
      <c r="I52" s="275">
        <v>1253615</v>
      </c>
      <c r="J52" s="275">
        <v>10153985</v>
      </c>
      <c r="K52" s="2"/>
    </row>
    <row r="53" spans="2:11" x14ac:dyDescent="0.35">
      <c r="B53" s="3" t="s">
        <v>49</v>
      </c>
      <c r="C53" s="271">
        <v>38512104</v>
      </c>
      <c r="D53" s="271">
        <f>+E53-C53</f>
        <v>2933656</v>
      </c>
      <c r="E53" s="276">
        <f t="shared" ref="E53:E54" si="5">SUM(F53:J53)</f>
        <v>41445760</v>
      </c>
      <c r="F53" s="271">
        <v>23453135</v>
      </c>
      <c r="G53" s="271">
        <v>0</v>
      </c>
      <c r="H53" s="271">
        <v>2565088</v>
      </c>
      <c r="I53" s="271">
        <v>3574415</v>
      </c>
      <c r="J53" s="271">
        <v>11853122</v>
      </c>
      <c r="K53" s="2"/>
    </row>
    <row r="54" spans="2:11" x14ac:dyDescent="0.35">
      <c r="B54" s="3" t="s">
        <v>50</v>
      </c>
      <c r="C54" s="271">
        <v>6152549</v>
      </c>
      <c r="D54" s="271">
        <f>+E54-C54</f>
        <v>5487</v>
      </c>
      <c r="E54" s="276">
        <f t="shared" si="5"/>
        <v>6158036</v>
      </c>
      <c r="F54" s="271">
        <v>3325660</v>
      </c>
      <c r="G54" s="271">
        <v>0</v>
      </c>
      <c r="H54" s="271">
        <v>369809</v>
      </c>
      <c r="I54" s="271">
        <v>531670</v>
      </c>
      <c r="J54" s="271">
        <v>1930897</v>
      </c>
      <c r="K54" s="2"/>
    </row>
    <row r="55" spans="2:11" x14ac:dyDescent="0.35">
      <c r="B55" s="3" t="s">
        <v>27</v>
      </c>
      <c r="C55" s="172">
        <v>0</v>
      </c>
      <c r="D55" s="172">
        <v>0</v>
      </c>
      <c r="E55" s="236">
        <v>0</v>
      </c>
      <c r="F55" s="172">
        <v>0</v>
      </c>
      <c r="G55" s="172">
        <v>0</v>
      </c>
      <c r="H55" s="172">
        <v>0</v>
      </c>
      <c r="I55" s="172">
        <v>0</v>
      </c>
      <c r="J55" s="172">
        <v>0</v>
      </c>
      <c r="K55" s="2"/>
    </row>
    <row r="56" spans="2:11" x14ac:dyDescent="0.35">
      <c r="B56" s="3"/>
      <c r="C56" s="172"/>
      <c r="D56" s="172"/>
      <c r="E56" s="217"/>
      <c r="F56" s="217"/>
      <c r="G56" s="217"/>
      <c r="H56" s="217"/>
      <c r="I56" s="217"/>
      <c r="J56" s="217"/>
    </row>
    <row r="57" spans="2:11" x14ac:dyDescent="0.35">
      <c r="B57" s="3" t="s">
        <v>219</v>
      </c>
      <c r="C57" s="173">
        <v>-900000</v>
      </c>
      <c r="D57" s="173">
        <f>+E57-C57</f>
        <v>-33417</v>
      </c>
      <c r="E57" s="172">
        <v>-933417</v>
      </c>
      <c r="F57" s="172"/>
      <c r="G57" s="172"/>
      <c r="H57" s="172">
        <f>+E57</f>
        <v>-933417</v>
      </c>
      <c r="I57" s="172"/>
      <c r="J57" s="172"/>
    </row>
    <row r="58" spans="2:11" x14ac:dyDescent="0.35">
      <c r="B58" s="3" t="s">
        <v>220</v>
      </c>
      <c r="C58" s="173">
        <v>-3602000</v>
      </c>
      <c r="D58" s="173">
        <f>+E58-C58</f>
        <v>665560</v>
      </c>
      <c r="E58" s="218">
        <v>-2936440</v>
      </c>
      <c r="F58" s="218"/>
      <c r="G58" s="218"/>
      <c r="H58" s="218">
        <f>+E58</f>
        <v>-2936440</v>
      </c>
      <c r="I58" s="218"/>
      <c r="J58" s="218"/>
    </row>
    <row r="59" spans="2:11" x14ac:dyDescent="0.35">
      <c r="B59" s="3" t="s">
        <v>18</v>
      </c>
      <c r="C59" s="173">
        <v>823884</v>
      </c>
      <c r="D59" s="173">
        <f>+E59-C59</f>
        <v>-73884</v>
      </c>
      <c r="E59" s="218">
        <v>750000</v>
      </c>
      <c r="F59" s="218"/>
      <c r="G59" s="218"/>
      <c r="H59" s="218">
        <f>+E59</f>
        <v>750000</v>
      </c>
      <c r="I59" s="218"/>
      <c r="J59" s="218"/>
    </row>
    <row r="60" spans="2:11" x14ac:dyDescent="0.35">
      <c r="B60" s="52" t="s">
        <v>71</v>
      </c>
      <c r="C60" s="273">
        <f>SUM(C52:C59)</f>
        <v>54689912</v>
      </c>
      <c r="D60" s="274">
        <f>SUM(D52:D59)</f>
        <v>4088727</v>
      </c>
      <c r="E60" s="274">
        <f t="shared" ref="E60:J60" si="6">SUM(E52:E59)</f>
        <v>58778639</v>
      </c>
      <c r="F60" s="274">
        <f t="shared" si="6"/>
        <v>29185459</v>
      </c>
      <c r="G60" s="274">
        <f t="shared" si="6"/>
        <v>0</v>
      </c>
      <c r="H60" s="274">
        <f t="shared" si="6"/>
        <v>295476</v>
      </c>
      <c r="I60" s="274">
        <f t="shared" si="6"/>
        <v>5359700</v>
      </c>
      <c r="J60" s="274">
        <f t="shared" si="6"/>
        <v>23938004</v>
      </c>
    </row>
    <row r="61" spans="2:11" s="55" customFormat="1" x14ac:dyDescent="0.35">
      <c r="C61" s="56"/>
      <c r="D61" s="56"/>
      <c r="E61" s="56"/>
      <c r="F61" s="114" t="s">
        <v>258</v>
      </c>
      <c r="G61" s="114"/>
      <c r="H61" s="114"/>
    </row>
    <row r="62" spans="2:11" s="55" customFormat="1" x14ac:dyDescent="0.35">
      <c r="C62" s="56"/>
      <c r="D62" s="56"/>
      <c r="E62" s="56"/>
      <c r="F62" s="56"/>
      <c r="G62" s="56"/>
      <c r="H62" s="56"/>
      <c r="I62" s="56"/>
      <c r="J62" s="56"/>
      <c r="K62" s="56"/>
    </row>
    <row r="63" spans="2:11" s="55" customFormat="1" x14ac:dyDescent="0.35">
      <c r="B63" s="302"/>
      <c r="C63" s="303"/>
      <c r="D63" s="303"/>
      <c r="E63" s="303"/>
      <c r="F63" s="303"/>
      <c r="G63" s="303"/>
      <c r="H63" s="304"/>
      <c r="I63" s="279"/>
      <c r="J63" s="279"/>
    </row>
    <row r="64" spans="2:11" s="55" customFormat="1" ht="42.65" customHeight="1" x14ac:dyDescent="0.35">
      <c r="B64" s="3" t="s">
        <v>64</v>
      </c>
      <c r="C64" s="3" t="s">
        <v>168</v>
      </c>
      <c r="D64" s="43" t="s">
        <v>65</v>
      </c>
      <c r="E64" s="43" t="s">
        <v>169</v>
      </c>
      <c r="F64" s="145" t="s">
        <v>72</v>
      </c>
      <c r="G64" s="43" t="s">
        <v>73</v>
      </c>
      <c r="H64" s="43" t="s">
        <v>74</v>
      </c>
    </row>
    <row r="65" spans="2:10" s="55" customFormat="1" x14ac:dyDescent="0.35">
      <c r="B65" s="3" t="s">
        <v>48</v>
      </c>
      <c r="C65" s="108">
        <v>0</v>
      </c>
      <c r="D65" s="108">
        <v>0</v>
      </c>
      <c r="E65" s="217">
        <f>SUM(F65:H65)</f>
        <v>0</v>
      </c>
      <c r="F65" s="112">
        <v>0</v>
      </c>
      <c r="G65" s="112">
        <v>0</v>
      </c>
      <c r="H65" s="112">
        <v>0</v>
      </c>
    </row>
    <row r="66" spans="2:10" s="55" customFormat="1" x14ac:dyDescent="0.35">
      <c r="B66" s="3" t="s">
        <v>49</v>
      </c>
      <c r="C66" s="108">
        <v>0</v>
      </c>
      <c r="D66" s="108">
        <v>0</v>
      </c>
      <c r="E66" s="217">
        <f t="shared" ref="E66:E69" si="7">SUM(F66:H66)</f>
        <v>0</v>
      </c>
      <c r="F66" s="112">
        <v>0</v>
      </c>
      <c r="G66" s="112">
        <v>0</v>
      </c>
      <c r="H66" s="112">
        <v>0</v>
      </c>
    </row>
    <row r="67" spans="2:10" s="55" customFormat="1" x14ac:dyDescent="0.35">
      <c r="B67" s="3" t="s">
        <v>50</v>
      </c>
      <c r="C67" s="108">
        <v>0</v>
      </c>
      <c r="D67" s="108">
        <v>0</v>
      </c>
      <c r="E67" s="217">
        <f t="shared" si="7"/>
        <v>0</v>
      </c>
      <c r="F67" s="112">
        <v>0</v>
      </c>
      <c r="G67" s="112">
        <v>0</v>
      </c>
      <c r="H67" s="112">
        <v>0</v>
      </c>
    </row>
    <row r="68" spans="2:10" s="55" customFormat="1" x14ac:dyDescent="0.35">
      <c r="B68" s="3" t="s">
        <v>75</v>
      </c>
      <c r="C68" s="108">
        <v>0</v>
      </c>
      <c r="D68" s="108">
        <v>0</v>
      </c>
      <c r="E68" s="217">
        <f t="shared" si="7"/>
        <v>0</v>
      </c>
      <c r="F68" s="112">
        <v>0</v>
      </c>
      <c r="G68" s="112">
        <v>0</v>
      </c>
      <c r="H68" s="112">
        <v>0</v>
      </c>
    </row>
    <row r="69" spans="2:10" s="55" customFormat="1" x14ac:dyDescent="0.35">
      <c r="B69" s="3" t="s">
        <v>76</v>
      </c>
      <c r="C69" s="108">
        <v>0</v>
      </c>
      <c r="D69" s="108">
        <v>0</v>
      </c>
      <c r="E69" s="217">
        <f t="shared" si="7"/>
        <v>0</v>
      </c>
      <c r="F69" s="112">
        <v>0</v>
      </c>
      <c r="G69" s="112">
        <v>0</v>
      </c>
      <c r="H69" s="112">
        <v>0</v>
      </c>
    </row>
    <row r="70" spans="2:10" s="55" customFormat="1" x14ac:dyDescent="0.35">
      <c r="B70" s="52" t="s">
        <v>77</v>
      </c>
      <c r="C70" s="113">
        <f>SUM(C65:C69)</f>
        <v>0</v>
      </c>
      <c r="D70" s="113">
        <f>SUM(D65:D69)</f>
        <v>0</v>
      </c>
      <c r="E70" s="113">
        <f>SUM(E65:E69)</f>
        <v>0</v>
      </c>
      <c r="F70" s="113">
        <f t="shared" ref="F70:H70" si="8">SUM(F65:F69)</f>
        <v>0</v>
      </c>
      <c r="G70" s="113">
        <f t="shared" si="8"/>
        <v>0</v>
      </c>
      <c r="H70" s="113">
        <f t="shared" si="8"/>
        <v>0</v>
      </c>
    </row>
    <row r="71" spans="2:10" s="55" customFormat="1" x14ac:dyDescent="0.35">
      <c r="C71" s="56"/>
      <c r="D71" s="56"/>
      <c r="E71" s="56"/>
      <c r="F71" s="55" t="s">
        <v>78</v>
      </c>
      <c r="G71" s="114"/>
      <c r="H71" s="114"/>
    </row>
    <row r="72" spans="2:10" s="55" customFormat="1" ht="15" thickBot="1" x14ac:dyDescent="0.4">
      <c r="B72" s="103"/>
      <c r="C72" s="114"/>
      <c r="D72" s="114"/>
      <c r="E72" s="114"/>
      <c r="F72" s="114"/>
      <c r="G72" s="114"/>
      <c r="H72" s="114"/>
    </row>
    <row r="73" spans="2:10" s="55" customFormat="1" ht="29" x14ac:dyDescent="0.35">
      <c r="B73" s="115"/>
      <c r="C73" s="116" t="s">
        <v>215</v>
      </c>
      <c r="D73" s="116" t="s">
        <v>65</v>
      </c>
      <c r="E73" s="116" t="s">
        <v>54</v>
      </c>
      <c r="F73" s="117" t="s">
        <v>170</v>
      </c>
      <c r="G73" s="114"/>
      <c r="H73" s="114"/>
      <c r="I73" s="114"/>
    </row>
    <row r="74" spans="2:10" s="55" customFormat="1" x14ac:dyDescent="0.35">
      <c r="B74" s="126" t="s">
        <v>79</v>
      </c>
      <c r="C74" s="125">
        <f>C60+C70</f>
        <v>54689912</v>
      </c>
      <c r="D74" s="125">
        <f>D60+D70</f>
        <v>4088727</v>
      </c>
      <c r="E74" s="277">
        <f>D74/C74</f>
        <v>7.4761996325757488E-2</v>
      </c>
      <c r="F74" s="127">
        <f>E60+E70</f>
        <v>58778639</v>
      </c>
      <c r="G74" s="114"/>
      <c r="H74" s="114"/>
      <c r="I74" s="114"/>
    </row>
    <row r="75" spans="2:10" s="55" customFormat="1" x14ac:dyDescent="0.35">
      <c r="B75" s="126" t="s">
        <v>80</v>
      </c>
      <c r="C75" s="128">
        <f>'1. Reconciliation'!C11</f>
        <v>54689912</v>
      </c>
      <c r="D75" s="128">
        <f>'1. Reconciliation'!C25</f>
        <v>4088727</v>
      </c>
      <c r="E75" s="278">
        <f>'1. Reconciliation'!C26</f>
        <v>7.4761996325757488E-2</v>
      </c>
      <c r="F75" s="129">
        <f>'1. Reconciliation'!C23</f>
        <v>58778639</v>
      </c>
      <c r="G75" s="114"/>
      <c r="H75" s="114"/>
      <c r="I75" s="114"/>
    </row>
    <row r="76" spans="2:10" s="55" customFormat="1" ht="18" customHeight="1" thickBot="1" x14ac:dyDescent="0.4">
      <c r="B76" s="130" t="s">
        <v>81</v>
      </c>
      <c r="C76" s="131">
        <f>C74-C75</f>
        <v>0</v>
      </c>
      <c r="D76" s="131">
        <f t="shared" ref="D76:F76" si="9">D74-D75</f>
        <v>0</v>
      </c>
      <c r="E76" s="131">
        <f t="shared" si="9"/>
        <v>0</v>
      </c>
      <c r="F76" s="132">
        <f t="shared" si="9"/>
        <v>0</v>
      </c>
      <c r="G76" s="114"/>
      <c r="H76" s="114"/>
      <c r="I76" s="114"/>
    </row>
    <row r="77" spans="2:10" s="55" customFormat="1" x14ac:dyDescent="0.35">
      <c r="G77" s="114"/>
      <c r="H77" s="114"/>
      <c r="I77" s="114"/>
      <c r="J77" s="1"/>
    </row>
    <row r="78" spans="2:10" x14ac:dyDescent="0.35">
      <c r="B78" s="118"/>
      <c r="C78" s="119"/>
      <c r="D78" s="120"/>
      <c r="E78" s="121"/>
      <c r="F78" s="121"/>
      <c r="G78" s="121"/>
      <c r="H78" s="122"/>
    </row>
    <row r="79" spans="2:10" x14ac:dyDescent="0.35">
      <c r="B79" s="305" t="s">
        <v>186</v>
      </c>
      <c r="C79" s="306"/>
      <c r="D79" s="306"/>
      <c r="E79" s="306"/>
      <c r="F79" s="306"/>
      <c r="G79" s="307"/>
      <c r="H79" s="228"/>
      <c r="I79" s="97"/>
    </row>
    <row r="80" spans="2:10" x14ac:dyDescent="0.35">
      <c r="B80" s="308" t="s">
        <v>82</v>
      </c>
      <c r="C80" s="303"/>
      <c r="D80" s="303"/>
      <c r="E80" s="303"/>
      <c r="F80" s="303"/>
      <c r="G80" s="304"/>
      <c r="H80" s="229"/>
      <c r="I80" s="97"/>
    </row>
    <row r="81" spans="2:9" x14ac:dyDescent="0.35">
      <c r="B81" s="309" t="s">
        <v>183</v>
      </c>
      <c r="C81" s="310"/>
      <c r="D81" s="310"/>
      <c r="E81" s="310"/>
      <c r="F81" s="311"/>
      <c r="G81" s="153" t="s">
        <v>184</v>
      </c>
      <c r="H81" s="230"/>
      <c r="I81" s="231"/>
    </row>
    <row r="82" spans="2:9" x14ac:dyDescent="0.35">
      <c r="B82" s="300" t="s">
        <v>136</v>
      </c>
      <c r="C82" s="301"/>
      <c r="D82" s="301"/>
      <c r="E82" s="301"/>
      <c r="F82" s="301"/>
      <c r="G82" s="233">
        <v>304469.03846153844</v>
      </c>
      <c r="H82" s="232"/>
      <c r="I82" s="97"/>
    </row>
    <row r="83" spans="2:9" x14ac:dyDescent="0.35">
      <c r="B83" s="300" t="s">
        <v>112</v>
      </c>
      <c r="C83" s="301"/>
      <c r="D83" s="301"/>
      <c r="E83" s="301"/>
      <c r="F83" s="301"/>
      <c r="G83" s="233">
        <v>67850.38461538461</v>
      </c>
      <c r="H83" s="231"/>
      <c r="I83" s="97"/>
    </row>
    <row r="84" spans="2:9" x14ac:dyDescent="0.35">
      <c r="B84" s="300" t="s">
        <v>111</v>
      </c>
      <c r="C84" s="301"/>
      <c r="D84" s="301"/>
      <c r="E84" s="301"/>
      <c r="F84" s="301"/>
      <c r="G84" s="233">
        <v>27985.192307692309</v>
      </c>
      <c r="H84" s="231"/>
      <c r="I84" s="97"/>
    </row>
    <row r="85" spans="2:9" ht="15" thickBot="1" x14ac:dyDescent="0.4">
      <c r="B85" s="298" t="s">
        <v>185</v>
      </c>
      <c r="C85" s="299"/>
      <c r="D85" s="299"/>
      <c r="E85" s="299"/>
      <c r="F85" s="299"/>
      <c r="G85" s="270">
        <f>SUM(G82:G84)</f>
        <v>400304.61538461538</v>
      </c>
      <c r="H85" s="231"/>
      <c r="I85" s="97"/>
    </row>
    <row r="86" spans="2:9" ht="15" thickTop="1" x14ac:dyDescent="0.35"/>
  </sheetData>
  <mergeCells count="24">
    <mergeCell ref="B5:G5"/>
    <mergeCell ref="B2:I2"/>
    <mergeCell ref="B3:I3"/>
    <mergeCell ref="B4:I4"/>
    <mergeCell ref="B37:J37"/>
    <mergeCell ref="B17:F17"/>
    <mergeCell ref="B18:F18"/>
    <mergeCell ref="B27:F27"/>
    <mergeCell ref="B28:F28"/>
    <mergeCell ref="B7:F7"/>
    <mergeCell ref="B8:F8"/>
    <mergeCell ref="F39:G39"/>
    <mergeCell ref="B48:J48"/>
    <mergeCell ref="B38:J38"/>
    <mergeCell ref="B49:J49"/>
    <mergeCell ref="F50:G50"/>
    <mergeCell ref="B85:F85"/>
    <mergeCell ref="B83:F83"/>
    <mergeCell ref="B84:F84"/>
    <mergeCell ref="B63:H63"/>
    <mergeCell ref="B79:G79"/>
    <mergeCell ref="B80:G80"/>
    <mergeCell ref="B81:F81"/>
    <mergeCell ref="B82:F82"/>
  </mergeCells>
  <pageMargins left="0.7" right="0.7" top="0.75" bottom="0.75" header="0.3" footer="0.3"/>
  <pageSetup scale="66" orientation="landscape" r:id="rId1"/>
  <headerFooter>
    <oddFooter>&amp;L&amp;D&amp;R&amp;F,&amp;A,</oddFooter>
  </headerFooter>
  <ignoredErrors>
    <ignoredError sqref="E74:E76"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rgb="FFFFC000"/>
    <pageSetUpPr fitToPage="1"/>
  </sheetPr>
  <dimension ref="A1:F27"/>
  <sheetViews>
    <sheetView showGridLines="0" zoomScaleNormal="100" workbookViewId="0">
      <selection activeCell="D25" sqref="D25"/>
    </sheetView>
  </sheetViews>
  <sheetFormatPr defaultColWidth="8.81640625" defaultRowHeight="14.5" x14ac:dyDescent="0.35"/>
  <cols>
    <col min="1" max="1" width="19.81640625" style="1" customWidth="1"/>
    <col min="2" max="2" width="41.7265625" style="1" customWidth="1"/>
    <col min="3" max="3" width="24.7265625" style="1" customWidth="1"/>
    <col min="4" max="4" width="24" style="194" customWidth="1"/>
    <col min="5" max="5" width="13.81640625" style="1" customWidth="1"/>
    <col min="6" max="6" width="10.54296875" style="1" customWidth="1"/>
    <col min="7" max="16384" width="8.81640625" style="1"/>
  </cols>
  <sheetData>
    <row r="1" spans="1:4" x14ac:dyDescent="0.35">
      <c r="B1" s="332" t="s">
        <v>83</v>
      </c>
      <c r="C1" s="332"/>
      <c r="D1" s="332"/>
    </row>
    <row r="2" spans="1:4" ht="21" x14ac:dyDescent="0.5">
      <c r="B2" s="333" t="s">
        <v>5</v>
      </c>
      <c r="C2" s="334"/>
      <c r="D2" s="335"/>
    </row>
    <row r="3" spans="1:4" ht="18.5" x14ac:dyDescent="0.45">
      <c r="B3" s="337" t="s">
        <v>84</v>
      </c>
      <c r="C3" s="338"/>
      <c r="D3" s="339"/>
    </row>
    <row r="4" spans="1:4" ht="83.5" customHeight="1" x14ac:dyDescent="0.35">
      <c r="B4" s="336" t="s">
        <v>213</v>
      </c>
      <c r="C4" s="336"/>
      <c r="D4" s="336"/>
    </row>
    <row r="5" spans="1:4" x14ac:dyDescent="0.35">
      <c r="B5" s="20"/>
      <c r="C5" s="2"/>
      <c r="D5" s="196"/>
    </row>
    <row r="6" spans="1:4" x14ac:dyDescent="0.35">
      <c r="B6" s="341" t="s">
        <v>85</v>
      </c>
      <c r="C6" s="340" t="s">
        <v>86</v>
      </c>
      <c r="D6" s="342" t="s">
        <v>87</v>
      </c>
    </row>
    <row r="7" spans="1:4" x14ac:dyDescent="0.35">
      <c r="B7" s="341"/>
      <c r="C7" s="340"/>
      <c r="D7" s="342"/>
    </row>
    <row r="8" spans="1:4" x14ac:dyDescent="0.35">
      <c r="B8" s="73" t="s">
        <v>153</v>
      </c>
      <c r="C8" s="144"/>
      <c r="D8" s="197">
        <v>120057959.39861298</v>
      </c>
    </row>
    <row r="9" spans="1:4" x14ac:dyDescent="0.35">
      <c r="A9" s="175"/>
      <c r="B9" s="73"/>
      <c r="C9" s="174"/>
      <c r="D9" s="198"/>
    </row>
    <row r="10" spans="1:4" x14ac:dyDescent="0.35">
      <c r="A10" s="175"/>
      <c r="B10" s="73" t="s">
        <v>240</v>
      </c>
      <c r="C10" s="144">
        <f>+D10/$D$25</f>
        <v>0.68855348683485729</v>
      </c>
      <c r="D10" s="198">
        <v>600000</v>
      </c>
    </row>
    <row r="11" spans="1:4" x14ac:dyDescent="0.35">
      <c r="A11" s="175"/>
      <c r="B11" s="73" t="s">
        <v>232</v>
      </c>
      <c r="C11" s="144">
        <f t="shared" ref="C11:C22" si="0">+D11/$D$25</f>
        <v>0.21574675920825528</v>
      </c>
      <c r="D11" s="198">
        <v>188000</v>
      </c>
    </row>
    <row r="12" spans="1:4" x14ac:dyDescent="0.35">
      <c r="A12" s="175"/>
      <c r="B12" s="73" t="s">
        <v>233</v>
      </c>
      <c r="C12" s="144">
        <f t="shared" si="0"/>
        <v>-0.69888178913738019</v>
      </c>
      <c r="D12" s="198">
        <v>-609000</v>
      </c>
    </row>
    <row r="13" spans="1:4" x14ac:dyDescent="0.35">
      <c r="A13" s="175"/>
      <c r="B13" s="73" t="s">
        <v>221</v>
      </c>
      <c r="C13" s="144">
        <f t="shared" si="0"/>
        <v>2.4099372039220008</v>
      </c>
      <c r="D13" s="198">
        <v>2100000</v>
      </c>
    </row>
    <row r="14" spans="1:4" x14ac:dyDescent="0.35">
      <c r="A14" s="175"/>
      <c r="B14" s="73" t="s">
        <v>223</v>
      </c>
      <c r="C14" s="144">
        <f t="shared" si="0"/>
        <v>-3.4967041239763503</v>
      </c>
      <c r="D14" s="198">
        <v>-3047000</v>
      </c>
    </row>
    <row r="15" spans="1:4" x14ac:dyDescent="0.35">
      <c r="A15" s="175"/>
      <c r="B15" s="73" t="s">
        <v>235</v>
      </c>
      <c r="C15" s="144">
        <f t="shared" si="0"/>
        <v>-1.2634956483419633</v>
      </c>
      <c r="D15" s="198">
        <f>-145000-956000</f>
        <v>-1101000</v>
      </c>
    </row>
    <row r="16" spans="1:4" x14ac:dyDescent="0.35">
      <c r="A16" s="175"/>
      <c r="B16" s="73" t="s">
        <v>234</v>
      </c>
      <c r="C16" s="144">
        <f t="shared" si="0"/>
        <v>0.54510484374426205</v>
      </c>
      <c r="D16" s="198">
        <v>475000</v>
      </c>
    </row>
    <row r="17" spans="1:6" x14ac:dyDescent="0.35">
      <c r="A17" s="175"/>
      <c r="B17" s="73" t="s">
        <v>241</v>
      </c>
      <c r="C17" s="144">
        <f t="shared" si="0"/>
        <v>0.72298116117660016</v>
      </c>
      <c r="D17" s="198">
        <v>630000</v>
      </c>
      <c r="E17" s="1" t="s">
        <v>242</v>
      </c>
    </row>
    <row r="18" spans="1:6" x14ac:dyDescent="0.35">
      <c r="A18" s="175"/>
      <c r="B18" s="73" t="s">
        <v>222</v>
      </c>
      <c r="C18" s="144">
        <f t="shared" si="0"/>
        <v>1.1854595865006794</v>
      </c>
      <c r="D18" s="198">
        <v>1033000</v>
      </c>
      <c r="E18" s="1" t="s">
        <v>242</v>
      </c>
    </row>
    <row r="19" spans="1:6" x14ac:dyDescent="0.35">
      <c r="A19" s="175"/>
      <c r="B19" s="73" t="s">
        <v>237</v>
      </c>
      <c r="C19" s="144">
        <f t="shared" si="0"/>
        <v>0.35919540229885055</v>
      </c>
      <c r="D19" s="198">
        <v>313000</v>
      </c>
    </row>
    <row r="20" spans="1:6" x14ac:dyDescent="0.35">
      <c r="A20" s="175"/>
      <c r="B20" s="73" t="s">
        <v>236</v>
      </c>
      <c r="C20" s="144">
        <f t="shared" si="0"/>
        <v>0.34312915427270391</v>
      </c>
      <c r="D20" s="198">
        <v>299000</v>
      </c>
    </row>
    <row r="21" spans="1:6" x14ac:dyDescent="0.35">
      <c r="A21" s="175"/>
      <c r="B21" s="73" t="s">
        <v>238</v>
      </c>
      <c r="C21" s="144">
        <f t="shared" si="0"/>
        <v>0.58986082038852783</v>
      </c>
      <c r="D21" s="198">
        <v>514000</v>
      </c>
    </row>
    <row r="22" spans="1:6" x14ac:dyDescent="0.35">
      <c r="A22" s="175"/>
      <c r="B22" s="73" t="s">
        <v>239</v>
      </c>
      <c r="C22" s="144">
        <f t="shared" si="0"/>
        <v>-0.60088685689104326</v>
      </c>
      <c r="D22" s="198">
        <v>-523608</v>
      </c>
    </row>
    <row r="23" spans="1:6" ht="29" x14ac:dyDescent="0.35">
      <c r="B23" s="244" t="s">
        <v>266</v>
      </c>
      <c r="C23" s="201">
        <f>SUM(C8:C22)</f>
        <v>1.0000000000000004</v>
      </c>
      <c r="D23" s="197">
        <f>SUM(D8:D22)</f>
        <v>120929351.39861298</v>
      </c>
      <c r="E23" s="194"/>
      <c r="F23" s="192"/>
    </row>
    <row r="24" spans="1:6" x14ac:dyDescent="0.35">
      <c r="B24" s="69"/>
      <c r="C24" s="39"/>
      <c r="D24" s="199"/>
      <c r="E24" s="195"/>
      <c r="F24" s="193"/>
    </row>
    <row r="25" spans="1:6" x14ac:dyDescent="0.35">
      <c r="B25" s="28" t="s">
        <v>171</v>
      </c>
      <c r="C25" s="94"/>
      <c r="D25" s="203">
        <f>D23-D8</f>
        <v>871392</v>
      </c>
    </row>
    <row r="26" spans="1:6" x14ac:dyDescent="0.35">
      <c r="B26" s="28" t="s">
        <v>172</v>
      </c>
      <c r="C26" s="202">
        <f>D25/D8</f>
        <v>7.2580943767903755E-3</v>
      </c>
      <c r="D26" s="200"/>
    </row>
    <row r="27" spans="1:6" x14ac:dyDescent="0.35">
      <c r="B27" s="191" t="s">
        <v>88</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sheetPr>
  <dimension ref="B1:M40"/>
  <sheetViews>
    <sheetView showGridLines="0" topLeftCell="B1" zoomScaleNormal="100" workbookViewId="0">
      <selection activeCell="G15" sqref="G15"/>
    </sheetView>
  </sheetViews>
  <sheetFormatPr defaultRowHeight="14.5" x14ac:dyDescent="0.35"/>
  <cols>
    <col min="2" max="2" width="37.54296875" customWidth="1"/>
    <col min="3" max="3" width="18.81640625" customWidth="1"/>
    <col min="4" max="4" width="18.1796875" customWidth="1"/>
    <col min="5" max="5" width="25.1796875" customWidth="1"/>
    <col min="6" max="6" width="23.81640625" customWidth="1"/>
    <col min="7" max="7" width="45.54296875" customWidth="1"/>
    <col min="13" max="13" width="14.54296875" bestFit="1" customWidth="1"/>
  </cols>
  <sheetData>
    <row r="1" spans="2:7" x14ac:dyDescent="0.35">
      <c r="B1" s="287" t="s">
        <v>89</v>
      </c>
      <c r="C1" s="287"/>
      <c r="D1" s="287"/>
      <c r="E1" s="287"/>
      <c r="F1" s="287"/>
      <c r="G1" s="287"/>
    </row>
    <row r="2" spans="2:7" ht="18.5" x14ac:dyDescent="0.45">
      <c r="B2" s="344" t="s">
        <v>9</v>
      </c>
      <c r="C2" s="345"/>
      <c r="D2" s="345"/>
      <c r="E2" s="345"/>
      <c r="F2" s="345"/>
      <c r="G2" s="346"/>
    </row>
    <row r="3" spans="2:7" ht="18.5" x14ac:dyDescent="0.45">
      <c r="B3" s="337" t="s">
        <v>90</v>
      </c>
      <c r="C3" s="338"/>
      <c r="D3" s="338"/>
      <c r="E3" s="338"/>
      <c r="F3" s="338"/>
      <c r="G3" s="339"/>
    </row>
    <row r="4" spans="2:7" ht="63" customHeight="1" x14ac:dyDescent="0.35">
      <c r="B4" s="347" t="s">
        <v>211</v>
      </c>
      <c r="C4" s="348"/>
      <c r="D4" s="348"/>
      <c r="E4" s="348"/>
      <c r="F4" s="348"/>
      <c r="G4" s="349"/>
    </row>
    <row r="5" spans="2:7" ht="17.5" customHeight="1" x14ac:dyDescent="0.35">
      <c r="B5" s="42" t="s">
        <v>91</v>
      </c>
      <c r="C5" s="350" t="s">
        <v>92</v>
      </c>
      <c r="D5" s="351"/>
      <c r="E5" s="351"/>
      <c r="F5" s="352"/>
      <c r="G5" s="51" t="s">
        <v>93</v>
      </c>
    </row>
    <row r="6" spans="2:7" ht="31.5" customHeight="1" x14ac:dyDescent="0.35">
      <c r="B6" s="216"/>
      <c r="C6" s="45" t="s">
        <v>94</v>
      </c>
      <c r="D6" s="46" t="s">
        <v>95</v>
      </c>
      <c r="E6" s="133" t="s">
        <v>210</v>
      </c>
      <c r="F6" s="133" t="s">
        <v>96</v>
      </c>
      <c r="G6" s="16"/>
    </row>
    <row r="7" spans="2:7" ht="31.5" customHeight="1" x14ac:dyDescent="0.35">
      <c r="B7" s="134" t="s">
        <v>97</v>
      </c>
      <c r="C7" s="135">
        <v>0.02</v>
      </c>
      <c r="D7" s="136">
        <v>500000</v>
      </c>
      <c r="E7" s="137">
        <v>0.6</v>
      </c>
      <c r="F7" s="138">
        <f>C7*E7</f>
        <v>1.2E-2</v>
      </c>
      <c r="G7" s="134" t="s">
        <v>98</v>
      </c>
    </row>
    <row r="8" spans="2:7" ht="27" customHeight="1" x14ac:dyDescent="0.35">
      <c r="B8" s="16" t="s">
        <v>99</v>
      </c>
      <c r="C8" s="215"/>
      <c r="D8" s="179">
        <f>'[21]NEW FTES'!$F$21+'[21]NEW FTES'!$F$22</f>
        <v>590000</v>
      </c>
      <c r="E8" s="186">
        <f t="shared" ref="E8:E15" si="0">+D8/$D$16</f>
        <v>0.53906829191868744</v>
      </c>
      <c r="F8" s="9">
        <f t="shared" ref="F8:F15" si="1">C8*E8</f>
        <v>0</v>
      </c>
      <c r="G8" s="221" t="s">
        <v>247</v>
      </c>
    </row>
    <row r="9" spans="2:7" ht="27" customHeight="1" x14ac:dyDescent="0.35">
      <c r="B9" s="16" t="s">
        <v>35</v>
      </c>
      <c r="C9" s="9">
        <v>5.5E-2</v>
      </c>
      <c r="D9" s="178">
        <f>'[20]Inflation Pivot'!$D$4</f>
        <v>77705.512499999953</v>
      </c>
      <c r="E9" s="186">
        <f t="shared" si="0"/>
        <v>7.0997589654307094E-2</v>
      </c>
      <c r="F9" s="9">
        <f t="shared" si="1"/>
        <v>3.9048674309868901E-3</v>
      </c>
      <c r="G9" s="16"/>
    </row>
    <row r="10" spans="2:7" ht="27" customHeight="1" x14ac:dyDescent="0.35">
      <c r="B10" s="16" t="s">
        <v>100</v>
      </c>
      <c r="C10" s="9">
        <v>5.5E-2</v>
      </c>
      <c r="D10" s="179">
        <f>'[20]Inflation Pivot'!$D$6</f>
        <v>102893.83499999996</v>
      </c>
      <c r="E10" s="186">
        <f t="shared" si="0"/>
        <v>9.4011532004090223E-2</v>
      </c>
      <c r="F10" s="9">
        <f t="shared" si="1"/>
        <v>5.1706342602249626E-3</v>
      </c>
      <c r="G10" s="16"/>
    </row>
    <row r="11" spans="2:7" ht="27" customHeight="1" x14ac:dyDescent="0.35">
      <c r="B11" s="16" t="s">
        <v>101</v>
      </c>
      <c r="C11" s="9">
        <v>5.5E-2</v>
      </c>
      <c r="D11" s="179">
        <f>'[20]Inflation Pivot'!$G$158+27796</f>
        <v>57295.139999999992</v>
      </c>
      <c r="E11" s="186">
        <f t="shared" si="0"/>
        <v>5.2349141110240777E-2</v>
      </c>
      <c r="F11" s="9">
        <f t="shared" si="1"/>
        <v>2.8792027610632428E-3</v>
      </c>
      <c r="G11" s="16"/>
    </row>
    <row r="12" spans="2:7" ht="27" customHeight="1" x14ac:dyDescent="0.35">
      <c r="B12" s="29" t="s">
        <v>224</v>
      </c>
      <c r="C12" s="9">
        <v>5.5E-2</v>
      </c>
      <c r="D12" s="178">
        <f>'[20]Inflation Pivot'!$D$8</f>
        <v>80015.870000000112</v>
      </c>
      <c r="E12" s="186">
        <f t="shared" si="0"/>
        <v>7.3108505707267457E-2</v>
      </c>
      <c r="F12" s="9">
        <f t="shared" si="1"/>
        <v>4.0209678138997101E-3</v>
      </c>
      <c r="G12" s="16"/>
    </row>
    <row r="13" spans="2:7" ht="27" customHeight="1" x14ac:dyDescent="0.35">
      <c r="B13" s="29" t="s">
        <v>225</v>
      </c>
      <c r="C13" s="9">
        <v>5.5E-2</v>
      </c>
      <c r="D13" s="176">
        <v>56357</v>
      </c>
      <c r="E13" s="186">
        <f t="shared" si="0"/>
        <v>5.1491985979087232E-2</v>
      </c>
      <c r="F13" s="9">
        <f t="shared" si="1"/>
        <v>2.8320592288497977E-3</v>
      </c>
      <c r="G13" s="16"/>
    </row>
    <row r="14" spans="2:7" ht="27" customHeight="1" x14ac:dyDescent="0.35">
      <c r="B14" s="29" t="s">
        <v>246</v>
      </c>
      <c r="C14" s="9">
        <v>5.5E-2</v>
      </c>
      <c r="D14" s="176">
        <f>7181892-7100912</f>
        <v>80980</v>
      </c>
      <c r="E14" s="186">
        <f t="shared" si="0"/>
        <v>7.3989407253517464E-2</v>
      </c>
      <c r="F14" s="9">
        <f t="shared" si="1"/>
        <v>4.0694173989434604E-3</v>
      </c>
      <c r="G14" s="16"/>
    </row>
    <row r="15" spans="2:7" ht="27" customHeight="1" x14ac:dyDescent="0.35">
      <c r="B15" s="29" t="s">
        <v>244</v>
      </c>
      <c r="C15" s="186">
        <v>5.5E-2</v>
      </c>
      <c r="D15" s="220">
        <f>+D22-SUM(D8:D14)</f>
        <v>49233.63654999889</v>
      </c>
      <c r="E15" s="186">
        <f t="shared" si="0"/>
        <v>4.4983546372802302E-2</v>
      </c>
      <c r="F15" s="9">
        <f t="shared" si="1"/>
        <v>2.4740950505041264E-3</v>
      </c>
      <c r="G15" s="29"/>
    </row>
    <row r="16" spans="2:7" x14ac:dyDescent="0.35">
      <c r="B16" s="11" t="s">
        <v>13</v>
      </c>
      <c r="C16" s="71" t="s">
        <v>102</v>
      </c>
      <c r="D16" s="72">
        <f>SUM(D8:D15)</f>
        <v>1094480.9940499989</v>
      </c>
      <c r="E16" s="171">
        <f>SUM(E8:E15)</f>
        <v>1</v>
      </c>
      <c r="F16" s="170">
        <f>SUM(F8:F14)</f>
        <v>2.2877148893968066E-2</v>
      </c>
      <c r="G16" s="11"/>
    </row>
    <row r="17" spans="2:6" x14ac:dyDescent="0.35">
      <c r="B17" s="18" t="s">
        <v>212</v>
      </c>
      <c r="E17" t="s">
        <v>207</v>
      </c>
    </row>
    <row r="18" spans="2:6" x14ac:dyDescent="0.35">
      <c r="B18" s="18"/>
      <c r="E18" s="219" t="s">
        <v>245</v>
      </c>
    </row>
    <row r="19" spans="2:6" x14ac:dyDescent="0.35">
      <c r="D19" s="177">
        <f>'[20]Inflation Pivot'!$D$9</f>
        <v>504480.99404999893</v>
      </c>
    </row>
    <row r="20" spans="2:6" x14ac:dyDescent="0.35">
      <c r="B20" s="343" t="s">
        <v>103</v>
      </c>
      <c r="C20" s="343"/>
      <c r="D20" s="343"/>
      <c r="E20" s="343"/>
      <c r="F20" s="146"/>
    </row>
    <row r="21" spans="2:6" x14ac:dyDescent="0.35">
      <c r="D21" s="23">
        <f>D8</f>
        <v>590000</v>
      </c>
    </row>
    <row r="22" spans="2:6" ht="26" x14ac:dyDescent="0.6">
      <c r="B22" s="168" t="s">
        <v>206</v>
      </c>
      <c r="D22">
        <f>SUM(B19:E21)</f>
        <v>1094480.9940499989</v>
      </c>
    </row>
    <row r="40" spans="13:13" x14ac:dyDescent="0.35">
      <c r="M40" s="14"/>
    </row>
  </sheetData>
  <mergeCells count="6">
    <mergeCell ref="B20:E20"/>
    <mergeCell ref="B1:G1"/>
    <mergeCell ref="B2:G2"/>
    <mergeCell ref="B4:G4"/>
    <mergeCell ref="C5:F5"/>
    <mergeCell ref="B3:G3"/>
  </mergeCells>
  <pageMargins left="0.7" right="0.7" top="0.75" bottom="0.75" header="0.3" footer="0.3"/>
  <pageSetup orientation="landscape" r:id="rId1"/>
  <headerFooter>
    <oddFooter>&amp;L&amp;D&amp;R&amp;F,&amp;A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rgb="FFFFC000"/>
  </sheetPr>
  <dimension ref="B1:F18"/>
  <sheetViews>
    <sheetView showGridLines="0" workbookViewId="0">
      <selection activeCell="I15" sqref="I15"/>
    </sheetView>
  </sheetViews>
  <sheetFormatPr defaultColWidth="8.81640625" defaultRowHeight="14.5" x14ac:dyDescent="0.35"/>
  <cols>
    <col min="1" max="1" width="8.81640625" style="1"/>
    <col min="2" max="2" width="32.26953125" style="36" customWidth="1"/>
    <col min="3" max="4" width="22.26953125" style="36" customWidth="1"/>
    <col min="5" max="5" width="17.54296875" style="36" customWidth="1"/>
    <col min="6" max="6" width="19.54296875" style="36" customWidth="1"/>
    <col min="7" max="16384" width="8.81640625" style="1"/>
  </cols>
  <sheetData>
    <row r="1" spans="2:6" s="97" customFormat="1" x14ac:dyDescent="0.35">
      <c r="B1" s="98"/>
      <c r="C1" s="98"/>
      <c r="D1" s="98"/>
      <c r="E1" s="98"/>
      <c r="F1" s="98"/>
    </row>
    <row r="2" spans="2:6" ht="15.5" x14ac:dyDescent="0.35">
      <c r="B2" s="354" t="s">
        <v>104</v>
      </c>
      <c r="C2" s="354"/>
      <c r="D2" s="354"/>
      <c r="E2" s="354"/>
      <c r="F2" s="354"/>
    </row>
    <row r="3" spans="2:6" ht="18.5" x14ac:dyDescent="0.45">
      <c r="B3" s="355" t="s">
        <v>2</v>
      </c>
      <c r="C3" s="356"/>
      <c r="D3" s="356"/>
      <c r="E3" s="356"/>
      <c r="F3" s="357"/>
    </row>
    <row r="4" spans="2:6" ht="18.5" x14ac:dyDescent="0.45">
      <c r="B4" s="337" t="s">
        <v>105</v>
      </c>
      <c r="C4" s="338"/>
      <c r="D4" s="338"/>
      <c r="E4" s="338"/>
      <c r="F4" s="339"/>
    </row>
    <row r="5" spans="2:6" ht="15.5" x14ac:dyDescent="0.35">
      <c r="B5" s="30"/>
      <c r="C5" s="30"/>
      <c r="D5" s="30"/>
      <c r="E5" s="30"/>
      <c r="F5" s="30"/>
    </row>
    <row r="6" spans="2:6" ht="67.5" customHeight="1" x14ac:dyDescent="0.35">
      <c r="B6" s="353" t="s">
        <v>201</v>
      </c>
      <c r="C6" s="353"/>
      <c r="D6" s="353"/>
      <c r="E6" s="353"/>
      <c r="F6" s="353"/>
    </row>
    <row r="7" spans="2:6" ht="15.5" x14ac:dyDescent="0.35">
      <c r="B7" s="30"/>
      <c r="C7" s="30"/>
      <c r="D7" s="30"/>
      <c r="E7" s="30"/>
      <c r="F7" s="30"/>
    </row>
    <row r="8" spans="2:6" ht="48" customHeight="1" x14ac:dyDescent="0.35">
      <c r="B8" s="31" t="s">
        <v>106</v>
      </c>
      <c r="C8" s="205" t="s">
        <v>173</v>
      </c>
      <c r="D8" s="205" t="s">
        <v>107</v>
      </c>
      <c r="E8" s="205" t="s">
        <v>108</v>
      </c>
      <c r="F8" s="206" t="s">
        <v>109</v>
      </c>
    </row>
    <row r="9" spans="2:6" ht="25.5" customHeight="1" x14ac:dyDescent="0.35">
      <c r="B9" s="32"/>
      <c r="C9" s="207" t="s">
        <v>110</v>
      </c>
      <c r="D9" s="207" t="s">
        <v>174</v>
      </c>
      <c r="E9" s="207" t="s">
        <v>174</v>
      </c>
      <c r="F9" s="208" t="s">
        <v>175</v>
      </c>
    </row>
    <row r="10" spans="2:6" ht="24" customHeight="1" x14ac:dyDescent="0.35">
      <c r="B10" s="33" t="s">
        <v>111</v>
      </c>
      <c r="C10" s="204" t="s">
        <v>218</v>
      </c>
      <c r="D10" s="34" t="s">
        <v>217</v>
      </c>
      <c r="E10" s="34" t="s">
        <v>217</v>
      </c>
      <c r="F10" s="35" t="s">
        <v>217</v>
      </c>
    </row>
    <row r="11" spans="2:6" ht="15.5" x14ac:dyDescent="0.35">
      <c r="B11" s="33" t="s">
        <v>112</v>
      </c>
      <c r="C11" s="34" t="s">
        <v>216</v>
      </c>
      <c r="D11" s="34" t="s">
        <v>217</v>
      </c>
      <c r="E11" s="34" t="s">
        <v>217</v>
      </c>
      <c r="F11" s="35" t="s">
        <v>217</v>
      </c>
    </row>
    <row r="12" spans="2:6" ht="15.5" x14ac:dyDescent="0.35">
      <c r="B12" s="33" t="s">
        <v>136</v>
      </c>
      <c r="C12" s="34"/>
      <c r="D12" s="34"/>
      <c r="E12" s="34"/>
      <c r="F12" s="35"/>
    </row>
    <row r="13" spans="2:6" ht="15.5" x14ac:dyDescent="0.35">
      <c r="B13" s="222" t="s">
        <v>199</v>
      </c>
      <c r="C13" s="204" t="s">
        <v>218</v>
      </c>
      <c r="D13" s="34" t="s">
        <v>217</v>
      </c>
      <c r="E13" s="34" t="s">
        <v>217</v>
      </c>
      <c r="F13" s="35" t="s">
        <v>217</v>
      </c>
    </row>
    <row r="14" spans="2:6" ht="15.5" x14ac:dyDescent="0.35">
      <c r="B14" s="223" t="s">
        <v>200</v>
      </c>
      <c r="C14" s="204" t="s">
        <v>218</v>
      </c>
      <c r="D14" s="34" t="s">
        <v>217</v>
      </c>
      <c r="E14" s="34" t="s">
        <v>217</v>
      </c>
      <c r="F14" s="35" t="s">
        <v>217</v>
      </c>
    </row>
    <row r="15" spans="2:6" ht="16" thickBot="1" x14ac:dyDescent="0.4">
      <c r="B15" s="161" t="s">
        <v>113</v>
      </c>
      <c r="C15" s="159"/>
      <c r="D15" s="159"/>
      <c r="E15" s="159"/>
      <c r="F15" s="160"/>
    </row>
    <row r="16" spans="2:6" ht="15.5" x14ac:dyDescent="0.35">
      <c r="B16" s="32" t="s">
        <v>114</v>
      </c>
      <c r="C16" s="156"/>
      <c r="D16" s="157"/>
      <c r="E16" s="157"/>
      <c r="F16" s="158"/>
    </row>
    <row r="17" spans="2:5" ht="15.5" x14ac:dyDescent="0.35">
      <c r="B17" s="30"/>
    </row>
    <row r="18" spans="2:5" ht="15.5" x14ac:dyDescent="0.35">
      <c r="B18" s="37"/>
      <c r="E18" s="38"/>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5F5A-5A4C-4FE5-8562-109CA7C69874}">
  <sheetPr>
    <tabColor theme="7"/>
    <pageSetUpPr fitToPage="1"/>
  </sheetPr>
  <dimension ref="A2:K23"/>
  <sheetViews>
    <sheetView showGridLines="0" zoomScale="80" zoomScaleNormal="80" zoomScaleSheetLayoutView="55" workbookViewId="0">
      <pane xSplit="3" ySplit="11" topLeftCell="E12" activePane="bottomRight" state="frozen"/>
      <selection pane="topRight" activeCell="D1" sqref="D1"/>
      <selection pane="bottomLeft" activeCell="A12" sqref="A12"/>
      <selection pane="bottomRight" activeCell="J10" sqref="J10"/>
    </sheetView>
  </sheetViews>
  <sheetFormatPr defaultColWidth="9.1796875" defaultRowHeight="15" customHeight="1" x14ac:dyDescent="0.35"/>
  <cols>
    <col min="1" max="1" width="20.81640625" style="95" hidden="1" customWidth="1"/>
    <col min="2" max="2" width="44.54296875" style="95" customWidth="1"/>
    <col min="3" max="3" width="24" style="95" customWidth="1"/>
    <col min="4" max="11" width="22.7265625" style="95" customWidth="1"/>
    <col min="12" max="16384" width="9.1796875" style="95"/>
  </cols>
  <sheetData>
    <row r="2" spans="1:11" s="1" customFormat="1" ht="15.5" x14ac:dyDescent="0.35">
      <c r="B2" s="354" t="s">
        <v>115</v>
      </c>
      <c r="C2" s="354"/>
      <c r="D2" s="354"/>
      <c r="E2" s="354"/>
      <c r="F2" s="354"/>
      <c r="G2" s="354"/>
      <c r="H2" s="354"/>
      <c r="I2" s="354"/>
      <c r="J2" s="354"/>
      <c r="K2" s="354"/>
    </row>
    <row r="3" spans="1:11" s="1" customFormat="1" ht="18.5" x14ac:dyDescent="0.45">
      <c r="B3" s="355" t="s">
        <v>116</v>
      </c>
      <c r="C3" s="356"/>
      <c r="D3" s="356"/>
      <c r="E3" s="356"/>
      <c r="F3" s="356"/>
      <c r="G3" s="356"/>
      <c r="H3" s="356"/>
      <c r="I3" s="356"/>
      <c r="J3" s="356"/>
      <c r="K3" s="357"/>
    </row>
    <row r="4" spans="1:11" s="1" customFormat="1" ht="18.5" x14ac:dyDescent="0.45">
      <c r="B4" s="337" t="s">
        <v>117</v>
      </c>
      <c r="C4" s="338"/>
      <c r="D4" s="338"/>
      <c r="E4" s="338"/>
      <c r="F4" s="338"/>
      <c r="G4" s="338"/>
      <c r="H4" s="338"/>
      <c r="I4" s="338"/>
      <c r="J4" s="338"/>
      <c r="K4" s="339"/>
    </row>
    <row r="5" spans="1:11" s="97" customFormat="1" ht="18.5" x14ac:dyDescent="0.45">
      <c r="B5" s="139"/>
      <c r="C5" s="139"/>
      <c r="D5" s="139"/>
      <c r="E5" s="139"/>
      <c r="F5" s="139"/>
      <c r="G5" s="139"/>
      <c r="H5" s="139"/>
      <c r="I5" s="139"/>
      <c r="J5" s="139"/>
      <c r="K5" s="139"/>
    </row>
    <row r="6" spans="1:11" s="97" customFormat="1" ht="18.75" customHeight="1" x14ac:dyDescent="0.35">
      <c r="B6" s="360" t="s">
        <v>205</v>
      </c>
      <c r="C6" s="360"/>
      <c r="D6" s="360"/>
      <c r="E6" s="360"/>
      <c r="F6" s="360"/>
      <c r="G6" s="360"/>
      <c r="H6" s="360"/>
      <c r="I6" s="360"/>
      <c r="J6" s="360"/>
      <c r="K6" s="360"/>
    </row>
    <row r="7" spans="1:11" s="97" customFormat="1" ht="18.75" customHeight="1" x14ac:dyDescent="0.35">
      <c r="B7" s="360"/>
      <c r="C7" s="360"/>
      <c r="D7" s="360"/>
      <c r="E7" s="360"/>
      <c r="F7" s="360"/>
      <c r="G7" s="360"/>
      <c r="H7" s="360"/>
      <c r="I7" s="360"/>
      <c r="J7" s="360"/>
      <c r="K7" s="360"/>
    </row>
    <row r="8" spans="1:11" s="97" customFormat="1" ht="18.5" x14ac:dyDescent="0.45">
      <c r="B8" s="96"/>
      <c r="C8" s="96"/>
      <c r="D8" s="96"/>
      <c r="E8" s="96"/>
      <c r="F8" s="96"/>
      <c r="G8" s="96"/>
      <c r="H8" s="96"/>
    </row>
    <row r="9" spans="1:11" s="140" customFormat="1" ht="18.5" x14ac:dyDescent="0.45">
      <c r="B9" s="141"/>
      <c r="D9" s="141"/>
      <c r="E9" s="141"/>
      <c r="F9" s="141"/>
      <c r="G9" s="141"/>
      <c r="H9" s="242" t="s">
        <v>263</v>
      </c>
      <c r="I9" s="142"/>
      <c r="J9" s="242" t="s">
        <v>268</v>
      </c>
      <c r="K9" s="142"/>
    </row>
    <row r="10" spans="1:11" s="245" customFormat="1" ht="15" customHeight="1" x14ac:dyDescent="0.35">
      <c r="B10" s="358" t="s">
        <v>118</v>
      </c>
      <c r="C10" s="246" t="s">
        <v>119</v>
      </c>
      <c r="D10" s="247" t="s">
        <v>119</v>
      </c>
      <c r="E10" s="248" t="s">
        <v>120</v>
      </c>
      <c r="F10" s="249" t="s">
        <v>204</v>
      </c>
      <c r="G10" s="250" t="s">
        <v>119</v>
      </c>
      <c r="H10" s="248" t="s">
        <v>120</v>
      </c>
      <c r="I10" s="249" t="s">
        <v>204</v>
      </c>
      <c r="J10" s="248" t="s">
        <v>120</v>
      </c>
      <c r="K10" s="249" t="s">
        <v>204</v>
      </c>
    </row>
    <row r="11" spans="1:11" s="245" customFormat="1" ht="14.5" x14ac:dyDescent="0.35">
      <c r="B11" s="359"/>
      <c r="C11" s="251" t="s">
        <v>121</v>
      </c>
      <c r="D11" s="363" t="s">
        <v>203</v>
      </c>
      <c r="E11" s="361"/>
      <c r="F11" s="362"/>
      <c r="G11" s="361" t="s">
        <v>122</v>
      </c>
      <c r="H11" s="361"/>
      <c r="I11" s="362"/>
      <c r="J11" s="361" t="s">
        <v>202</v>
      </c>
      <c r="K11" s="362"/>
    </row>
    <row r="12" spans="1:11" s="240" customFormat="1" ht="20.149999999999999" customHeight="1" x14ac:dyDescent="0.35">
      <c r="B12" s="243" t="s">
        <v>230</v>
      </c>
      <c r="C12" s="167">
        <f t="shared" ref="C12:C21" si="0">+D12+G12</f>
        <v>1000000</v>
      </c>
      <c r="D12" s="164">
        <v>0</v>
      </c>
      <c r="E12" s="163">
        <v>0</v>
      </c>
      <c r="F12" s="165">
        <v>0</v>
      </c>
      <c r="G12" s="237">
        <v>1000000</v>
      </c>
      <c r="H12" s="237">
        <v>1000000</v>
      </c>
      <c r="I12" s="239">
        <v>0</v>
      </c>
      <c r="J12" s="238">
        <v>0</v>
      </c>
      <c r="K12" s="239">
        <v>0</v>
      </c>
    </row>
    <row r="13" spans="1:11" s="240" customFormat="1" ht="20.149999999999999" customHeight="1" x14ac:dyDescent="0.35">
      <c r="B13" s="243" t="s">
        <v>265</v>
      </c>
      <c r="C13" s="167">
        <f t="shared" si="0"/>
        <v>1463120.92</v>
      </c>
      <c r="D13" s="164"/>
      <c r="E13" s="163"/>
      <c r="F13" s="165"/>
      <c r="G13" s="237">
        <v>1463120.92</v>
      </c>
      <c r="H13" s="238">
        <f>+G13-J13</f>
        <v>1163120.92</v>
      </c>
      <c r="I13" s="239">
        <v>300000</v>
      </c>
      <c r="J13" s="238">
        <v>300000</v>
      </c>
      <c r="K13" s="239"/>
    </row>
    <row r="14" spans="1:11" s="240" customFormat="1" ht="20.149999999999999" customHeight="1" x14ac:dyDescent="0.35">
      <c r="B14" s="243" t="s">
        <v>231</v>
      </c>
      <c r="C14" s="167">
        <f t="shared" si="0"/>
        <v>1434177.43</v>
      </c>
      <c r="D14" s="164"/>
      <c r="E14" s="163"/>
      <c r="F14" s="165"/>
      <c r="G14" s="237">
        <v>1434177.43</v>
      </c>
      <c r="H14" s="238">
        <v>1434177</v>
      </c>
      <c r="I14" s="239">
        <v>0</v>
      </c>
      <c r="J14" s="238"/>
      <c r="K14" s="239"/>
    </row>
    <row r="15" spans="1:11" s="240" customFormat="1" ht="20.149999999999999" customHeight="1" x14ac:dyDescent="0.35">
      <c r="A15" s="240">
        <v>20270002</v>
      </c>
      <c r="B15" s="261" t="s">
        <v>260</v>
      </c>
      <c r="C15" s="167">
        <f t="shared" si="0"/>
        <v>494326</v>
      </c>
      <c r="D15" s="164">
        <f>76965</f>
        <v>76965</v>
      </c>
      <c r="E15" s="252">
        <v>369615</v>
      </c>
      <c r="F15" s="165">
        <v>353103.88</v>
      </c>
      <c r="G15" s="237">
        <v>417361</v>
      </c>
      <c r="H15" s="238">
        <v>318229</v>
      </c>
      <c r="I15" s="239">
        <v>34875</v>
      </c>
      <c r="J15" s="238">
        <v>0</v>
      </c>
      <c r="K15" s="239">
        <v>0</v>
      </c>
    </row>
    <row r="16" spans="1:11" s="240" customFormat="1" ht="20.149999999999999" customHeight="1" x14ac:dyDescent="0.35">
      <c r="B16" s="262" t="s">
        <v>261</v>
      </c>
      <c r="C16" s="167">
        <f t="shared" si="0"/>
        <v>258376</v>
      </c>
      <c r="D16" s="164">
        <v>0</v>
      </c>
      <c r="E16" s="163">
        <v>258376</v>
      </c>
      <c r="F16" s="165">
        <v>258376</v>
      </c>
      <c r="G16" s="237">
        <v>258376</v>
      </c>
      <c r="H16" s="238">
        <v>0</v>
      </c>
      <c r="I16" s="239">
        <v>0</v>
      </c>
      <c r="J16" s="238"/>
      <c r="K16" s="239"/>
    </row>
    <row r="17" spans="1:11" s="240" customFormat="1" ht="20.149999999999999" customHeight="1" x14ac:dyDescent="0.35">
      <c r="B17" s="262" t="s">
        <v>261</v>
      </c>
      <c r="C17" s="167">
        <f t="shared" si="0"/>
        <v>0</v>
      </c>
      <c r="D17" s="164"/>
      <c r="E17" s="163">
        <v>99317</v>
      </c>
      <c r="F17" s="165"/>
      <c r="G17" s="237"/>
      <c r="H17" s="238"/>
      <c r="I17" s="239"/>
      <c r="J17" s="238"/>
      <c r="K17" s="239"/>
    </row>
    <row r="18" spans="1:11" s="240" customFormat="1" ht="20.149999999999999" customHeight="1" x14ac:dyDescent="0.35">
      <c r="B18" s="262" t="s">
        <v>261</v>
      </c>
      <c r="C18" s="167">
        <f t="shared" si="0"/>
        <v>11855</v>
      </c>
      <c r="D18" s="164">
        <v>11855</v>
      </c>
      <c r="E18" s="163">
        <v>11855</v>
      </c>
      <c r="F18" s="165"/>
      <c r="G18" s="237"/>
      <c r="H18" s="238"/>
      <c r="I18" s="239"/>
      <c r="J18" s="238"/>
      <c r="K18" s="239"/>
    </row>
    <row r="19" spans="1:11" s="240" customFormat="1" ht="19.5" customHeight="1" x14ac:dyDescent="0.35">
      <c r="B19" s="261" t="s">
        <v>267</v>
      </c>
      <c r="C19" s="167">
        <f t="shared" si="0"/>
        <v>268159.19</v>
      </c>
      <c r="D19" s="164">
        <v>268159.19</v>
      </c>
      <c r="E19" s="252">
        <v>56379.74</v>
      </c>
      <c r="F19" s="165">
        <v>0</v>
      </c>
      <c r="G19" s="237"/>
      <c r="H19" s="238"/>
      <c r="I19" s="239"/>
      <c r="J19" s="238"/>
      <c r="K19" s="239"/>
    </row>
    <row r="20" spans="1:11" s="240" customFormat="1" ht="30.75" customHeight="1" x14ac:dyDescent="0.35">
      <c r="A20" s="240" t="s">
        <v>264</v>
      </c>
      <c r="B20" s="262" t="s">
        <v>259</v>
      </c>
      <c r="C20" s="167">
        <f t="shared" si="0"/>
        <v>1834785</v>
      </c>
      <c r="D20" s="164">
        <v>1834785</v>
      </c>
      <c r="E20" s="163">
        <v>1580781.24</v>
      </c>
      <c r="F20" s="165">
        <v>0</v>
      </c>
      <c r="G20" s="237">
        <v>0</v>
      </c>
      <c r="H20" s="238">
        <v>0</v>
      </c>
      <c r="I20" s="239">
        <v>0</v>
      </c>
      <c r="J20" s="238">
        <v>0</v>
      </c>
      <c r="K20" s="239">
        <v>0</v>
      </c>
    </row>
    <row r="21" spans="1:11" s="253" customFormat="1" ht="20.149999999999999" customHeight="1" x14ac:dyDescent="0.35">
      <c r="B21" s="263" t="s">
        <v>262</v>
      </c>
      <c r="C21" s="241">
        <f t="shared" si="0"/>
        <v>0</v>
      </c>
      <c r="D21" s="264"/>
      <c r="E21" s="162"/>
      <c r="F21" s="265"/>
      <c r="G21" s="254"/>
      <c r="H21" s="255"/>
      <c r="I21" s="256"/>
      <c r="J21" s="238">
        <v>500000</v>
      </c>
      <c r="K21" s="256"/>
    </row>
    <row r="22" spans="1:11" s="240" customFormat="1" ht="15" customHeight="1" thickBot="1" x14ac:dyDescent="0.4">
      <c r="B22" s="257" t="s">
        <v>123</v>
      </c>
      <c r="C22" s="166">
        <f t="shared" ref="C22:K22" si="1">SUM(C12:C21)</f>
        <v>6764799.54</v>
      </c>
      <c r="D22" s="258">
        <f t="shared" si="1"/>
        <v>2191764.19</v>
      </c>
      <c r="E22" s="259">
        <f t="shared" si="1"/>
        <v>2376323.98</v>
      </c>
      <c r="F22" s="260">
        <f t="shared" si="1"/>
        <v>611479.88</v>
      </c>
      <c r="G22" s="259">
        <f t="shared" si="1"/>
        <v>4573035.3499999996</v>
      </c>
      <c r="H22" s="259">
        <f t="shared" si="1"/>
        <v>3915526.92</v>
      </c>
      <c r="I22" s="260">
        <f t="shared" si="1"/>
        <v>334875</v>
      </c>
      <c r="J22" s="259">
        <f t="shared" si="1"/>
        <v>800000</v>
      </c>
      <c r="K22" s="260">
        <f t="shared" si="1"/>
        <v>0</v>
      </c>
    </row>
    <row r="23" spans="1:11" ht="15" customHeight="1" thickTop="1" x14ac:dyDescent="0.35"/>
  </sheetData>
  <mergeCells count="8">
    <mergeCell ref="B4:K4"/>
    <mergeCell ref="B3:K3"/>
    <mergeCell ref="B2:K2"/>
    <mergeCell ref="B10:B11"/>
    <mergeCell ref="B6:K7"/>
    <mergeCell ref="G11:I11"/>
    <mergeCell ref="J11:K11"/>
    <mergeCell ref="D11:F11"/>
  </mergeCells>
  <pageMargins left="0.7" right="0.7" top="0.75" bottom="0.75" header="0.3" footer="0.3"/>
  <pageSetup scale="44"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topLeftCell="A3" zoomScale="110" zoomScaleNormal="110" workbookViewId="0">
      <selection activeCell="C24" sqref="C24"/>
    </sheetView>
  </sheetViews>
  <sheetFormatPr defaultRowHeight="14.5" x14ac:dyDescent="0.35"/>
  <cols>
    <col min="1" max="1" width="42.7265625" style="58" customWidth="1"/>
    <col min="2" max="2" width="13.81640625" style="58" customWidth="1"/>
  </cols>
  <sheetData>
    <row r="2" spans="1:2" x14ac:dyDescent="0.35">
      <c r="A2" s="364" t="s">
        <v>124</v>
      </c>
      <c r="B2" s="364"/>
    </row>
    <row r="3" spans="1:2" ht="15.5" x14ac:dyDescent="0.35">
      <c r="A3" s="365" t="s">
        <v>125</v>
      </c>
      <c r="B3" s="365"/>
    </row>
    <row r="4" spans="1:2" ht="24.65" customHeight="1" x14ac:dyDescent="0.35">
      <c r="A4" s="366" t="s">
        <v>126</v>
      </c>
      <c r="B4" s="366"/>
    </row>
    <row r="5" spans="1:2" x14ac:dyDescent="0.35">
      <c r="A5" s="59" t="s">
        <v>127</v>
      </c>
      <c r="B5" s="60">
        <f>'1. Reconciliation'!C23</f>
        <v>58778639</v>
      </c>
    </row>
    <row r="6" spans="1:2" x14ac:dyDescent="0.35">
      <c r="A6" s="59" t="s">
        <v>128</v>
      </c>
      <c r="B6" s="61">
        <f>'1. Reconciliation'!C26</f>
        <v>7.4761996325757488E-2</v>
      </c>
    </row>
    <row r="7" spans="1:2" x14ac:dyDescent="0.35">
      <c r="A7" s="59" t="s">
        <v>129</v>
      </c>
      <c r="B7" s="61">
        <f>'1. Reconciliation'!C75</f>
        <v>0.13645713022230627</v>
      </c>
    </row>
    <row r="8" spans="1:2" x14ac:dyDescent="0.35">
      <c r="A8" s="62"/>
      <c r="B8" s="63"/>
    </row>
    <row r="9" spans="1:2" x14ac:dyDescent="0.35">
      <c r="A9" s="64" t="s">
        <v>130</v>
      </c>
      <c r="B9" s="65"/>
    </row>
    <row r="10" spans="1:2" ht="39.65" customHeight="1" x14ac:dyDescent="0.35">
      <c r="A10" s="59" t="s">
        <v>131</v>
      </c>
      <c r="B10" s="66">
        <f>+'1. Reconciliation'!C12</f>
        <v>2847925</v>
      </c>
    </row>
    <row r="11" spans="1:2" x14ac:dyDescent="0.35">
      <c r="A11" s="59" t="s">
        <v>132</v>
      </c>
      <c r="B11" s="66">
        <f>+'1. Reconciliation'!C14</f>
        <v>1946829</v>
      </c>
    </row>
    <row r="12" spans="1:2" x14ac:dyDescent="0.35">
      <c r="A12" s="59" t="s">
        <v>23</v>
      </c>
      <c r="B12" s="66">
        <f>+'1. Reconciliation'!C16</f>
        <v>0</v>
      </c>
    </row>
    <row r="13" spans="1:2" x14ac:dyDescent="0.35">
      <c r="A13" s="59" t="s">
        <v>24</v>
      </c>
      <c r="B13" s="66">
        <f>+'1. Reconciliation'!C17</f>
        <v>0</v>
      </c>
    </row>
    <row r="14" spans="1:2" ht="44.5" customHeight="1" x14ac:dyDescent="0.35">
      <c r="A14" s="59" t="s">
        <v>25</v>
      </c>
      <c r="B14" s="66">
        <f>+'1. Reconciliation'!C18</f>
        <v>0</v>
      </c>
    </row>
    <row r="15" spans="1:2" x14ac:dyDescent="0.35">
      <c r="A15" s="67" t="s">
        <v>133</v>
      </c>
      <c r="B15" s="68">
        <f>SUM(B10:B14)</f>
        <v>4794754</v>
      </c>
    </row>
  </sheetData>
  <mergeCells count="3">
    <mergeCell ref="A2:B2"/>
    <mergeCell ref="A3:B3"/>
    <mergeCell ref="A4:B4"/>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4.5" x14ac:dyDescent="0.35"/>
  <sheetData>
    <row r="1" spans="2:5" x14ac:dyDescent="0.35">
      <c r="B1" t="s">
        <v>134</v>
      </c>
    </row>
    <row r="3" spans="2:5" x14ac:dyDescent="0.35">
      <c r="B3" t="s">
        <v>135</v>
      </c>
      <c r="C3" t="s">
        <v>136</v>
      </c>
      <c r="D3" t="s">
        <v>112</v>
      </c>
      <c r="E3" t="s">
        <v>111</v>
      </c>
    </row>
    <row r="4" spans="2:5" x14ac:dyDescent="0.35">
      <c r="B4" s="16" t="s">
        <v>137</v>
      </c>
      <c r="C4" s="24">
        <v>180</v>
      </c>
      <c r="D4" s="24">
        <v>100</v>
      </c>
      <c r="E4" s="16" t="s">
        <v>138</v>
      </c>
    </row>
    <row r="5" spans="2:5" x14ac:dyDescent="0.35">
      <c r="B5" s="16" t="s">
        <v>139</v>
      </c>
      <c r="C5" s="24">
        <v>163</v>
      </c>
      <c r="D5" s="24">
        <v>100</v>
      </c>
      <c r="E5" s="24">
        <v>85</v>
      </c>
    </row>
    <row r="6" spans="2:5" x14ac:dyDescent="0.35">
      <c r="B6" s="16" t="s">
        <v>140</v>
      </c>
      <c r="C6" s="24">
        <v>186</v>
      </c>
      <c r="D6" s="24">
        <v>100</v>
      </c>
      <c r="E6" s="24">
        <v>58</v>
      </c>
    </row>
    <row r="7" spans="2:5" x14ac:dyDescent="0.35">
      <c r="B7" s="16" t="s">
        <v>141</v>
      </c>
      <c r="C7" s="24">
        <v>92</v>
      </c>
      <c r="D7" s="24">
        <v>100</v>
      </c>
      <c r="E7" s="24">
        <v>52</v>
      </c>
    </row>
    <row r="8" spans="2:5" x14ac:dyDescent="0.35">
      <c r="B8" s="16" t="s">
        <v>142</v>
      </c>
      <c r="C8" s="24">
        <v>166</v>
      </c>
      <c r="D8" s="24">
        <v>100</v>
      </c>
      <c r="E8" s="24">
        <v>76</v>
      </c>
    </row>
    <row r="9" spans="2:5" x14ac:dyDescent="0.35">
      <c r="B9" s="16" t="s">
        <v>143</v>
      </c>
      <c r="C9" s="24">
        <v>130</v>
      </c>
      <c r="D9" s="24">
        <v>100</v>
      </c>
      <c r="E9" s="24">
        <v>75</v>
      </c>
    </row>
    <row r="10" spans="2:5" x14ac:dyDescent="0.35">
      <c r="B10" s="16" t="s">
        <v>144</v>
      </c>
      <c r="C10" s="24">
        <v>160</v>
      </c>
      <c r="D10" s="24">
        <v>100</v>
      </c>
      <c r="E10" s="24">
        <v>79</v>
      </c>
    </row>
    <row r="11" spans="2:5" x14ac:dyDescent="0.35">
      <c r="B11" s="16" t="s">
        <v>145</v>
      </c>
      <c r="C11" s="24">
        <v>120</v>
      </c>
      <c r="D11" s="24">
        <v>100</v>
      </c>
      <c r="E11" s="24">
        <v>81</v>
      </c>
    </row>
    <row r="12" spans="2:5" x14ac:dyDescent="0.35">
      <c r="B12" s="16" t="s">
        <v>146</v>
      </c>
      <c r="C12" s="24">
        <v>160</v>
      </c>
      <c r="D12" s="24">
        <v>100</v>
      </c>
      <c r="E12" s="24">
        <v>72</v>
      </c>
    </row>
    <row r="13" spans="2:5" x14ac:dyDescent="0.35">
      <c r="B13" s="16" t="s">
        <v>147</v>
      </c>
      <c r="C13" s="24">
        <v>150</v>
      </c>
      <c r="D13" s="24">
        <v>100</v>
      </c>
      <c r="E13" s="16">
        <v>55</v>
      </c>
    </row>
    <row r="14" spans="2:5" x14ac:dyDescent="0.35">
      <c r="B14" s="16" t="s">
        <v>148</v>
      </c>
      <c r="C14" s="24">
        <v>264</v>
      </c>
      <c r="D14" s="24">
        <v>100</v>
      </c>
      <c r="E14" s="24">
        <v>44</v>
      </c>
    </row>
    <row r="15" spans="2:5" x14ac:dyDescent="0.35">
      <c r="B15" s="16" t="s">
        <v>149</v>
      </c>
      <c r="C15" s="24">
        <v>178</v>
      </c>
      <c r="D15" s="24">
        <v>100</v>
      </c>
      <c r="E15" s="24">
        <v>108</v>
      </c>
    </row>
    <row r="16" spans="2:5" x14ac:dyDescent="0.35">
      <c r="B16" s="16" t="s">
        <v>150</v>
      </c>
      <c r="C16" s="24">
        <v>185</v>
      </c>
      <c r="D16" s="24">
        <v>100</v>
      </c>
      <c r="E16" s="24">
        <v>89</v>
      </c>
    </row>
    <row r="17" spans="2:5" x14ac:dyDescent="0.35">
      <c r="B17" s="16" t="s">
        <v>151</v>
      </c>
      <c r="C17" s="24">
        <v>228</v>
      </c>
      <c r="D17" s="24">
        <v>100</v>
      </c>
      <c r="E17" s="24">
        <v>76</v>
      </c>
    </row>
  </sheetData>
  <sortState xmlns:xlrd2="http://schemas.microsoft.com/office/spreadsheetml/2017/richdata2" ref="B4:E17">
    <sortCondition ref="B4: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FDD72E-62BB-4083-B4E4-70A11D42288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18dbc17e-cec9-4211-a89f-0bf74a616302"/>
    <ds:schemaRef ds:uri="2819d22d-c924-42b3-954a-d3b43813cc67"/>
    <ds:schemaRef ds:uri="http://www.w3.org/XML/1998/namespace"/>
  </ds:schemaRefs>
</ds:datastoreItem>
</file>

<file path=customXml/itemProps2.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35E319-B666-43F5-B785-F40D79B223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1. Reconciliation</vt:lpstr>
      <vt:lpstr>2. Charge and NPR Detail</vt:lpstr>
      <vt:lpstr>3. Utilization</vt:lpstr>
      <vt:lpstr>4. Inflation</vt:lpstr>
      <vt:lpstr>5. Value Based Care Participati</vt:lpstr>
      <vt:lpstr>6.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Kayda Wescott</cp:lastModifiedBy>
  <cp:revision/>
  <dcterms:created xsi:type="dcterms:W3CDTF">2020-01-09T18:52:12Z</dcterms:created>
  <dcterms:modified xsi:type="dcterms:W3CDTF">2022-08-12T20:02:13Z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