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S:\AOA\GMCB\GMCB - Shared\HCA-Special\HOME\HOSP\B2022\Appendix workbook\"/>
    </mc:Choice>
  </mc:AlternateContent>
  <xr:revisionPtr revIDLastSave="0" documentId="13_ncr:1_{9FFB2FD4-5754-4867-9F10-8DA530D8EE55}" xr6:coauthVersionLast="47" xr6:coauthVersionMax="47" xr10:uidLastSave="{00000000-0000-0000-0000-000000000000}"/>
  <bookViews>
    <workbookView xWindow="28680" yWindow="-120" windowWidth="29040" windowHeight="15840" tabRatio="892" firstSheet="1" activeTab="6" xr2:uid="{EDA287F5-79D0-4FF5-98F1-6BE045AC2F7D}"/>
  </bookViews>
  <sheets>
    <sheet name="Overview" sheetId="17" r:id="rId1"/>
    <sheet name="1. Reconciliation" sheetId="22" r:id="rId2"/>
    <sheet name="INCOME STATEMENT 0% INCR HIDE" sheetId="26" state="hidden" r:id="rId3"/>
    <sheet name="Bud to Bud Sum by Payer HIDE" sheetId="27" state="hidden" r:id="rId4"/>
    <sheet name="FY22 Net Rev Bud HIDE" sheetId="23" state="hidden" r:id="rId5"/>
    <sheet name="FY21 Bud Payer Mix HIDE" sheetId="24" state="hidden" r:id="rId6"/>
    <sheet name="2. Charge and NPR Detail" sheetId="13" r:id="rId7"/>
    <sheet name="3. Utilization" sheetId="7" r:id="rId8"/>
    <sheet name="4. Inflation" sheetId="16" r:id="rId9"/>
    <sheet name="5. Vaccine Clinics and Testing" sheetId="21" r:id="rId10"/>
    <sheet name="6. Value Based Care Participati" sheetId="8" r:id="rId11"/>
    <sheet name="7. COVID-19 Advances, Relief Fu" sheetId="20" r:id="rId12"/>
    <sheet name="Edit of Request Summary" sheetId="4" state="hidden" r:id="rId13"/>
    <sheet name="Non-Financial- Reimb. Ratio" sheetId="9"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B" localSheetId="1">#REF!</definedName>
    <definedName name="\B" localSheetId="3">#REF!</definedName>
    <definedName name="\B">#REF!</definedName>
    <definedName name="\D" localSheetId="1">#REF!</definedName>
    <definedName name="\D" localSheetId="3">#REF!</definedName>
    <definedName name="\D">#REF!</definedName>
    <definedName name="\E" localSheetId="1">#REF!</definedName>
    <definedName name="\E" localSheetId="3">#REF!</definedName>
    <definedName name="\E">#REF!</definedName>
    <definedName name="\F" localSheetId="1">#REF!</definedName>
    <definedName name="\F" localSheetId="3">#REF!</definedName>
    <definedName name="\F">#REF!</definedName>
    <definedName name="\H" localSheetId="1">#REF!</definedName>
    <definedName name="\H" localSheetId="3">#REF!</definedName>
    <definedName name="\H">#REF!</definedName>
    <definedName name="\L" localSheetId="1">#REF!</definedName>
    <definedName name="\L" localSheetId="3">#REF!</definedName>
    <definedName name="\L">#REF!</definedName>
    <definedName name="\M" localSheetId="1">#REF!</definedName>
    <definedName name="\M" localSheetId="3">#REF!</definedName>
    <definedName name="\M">#REF!</definedName>
    <definedName name="\S" localSheetId="1">#REF!</definedName>
    <definedName name="\S" localSheetId="3">#REF!</definedName>
    <definedName name="\S">#REF!</definedName>
    <definedName name="___A66000" localSheetId="1">[1]opsumm!#REF!</definedName>
    <definedName name="___A66000" localSheetId="3">[1]opsumm!#REF!</definedName>
    <definedName name="___A66000">[1]opsumm!#REF!</definedName>
    <definedName name="__A66000" localSheetId="1">[1]opsumm!#REF!</definedName>
    <definedName name="__A66000" localSheetId="3">[1]opsumm!#REF!</definedName>
    <definedName name="__A66000">[1]opsumm!#REF!</definedName>
    <definedName name="__TB3">[2]TB!$A$3:$C$1532</definedName>
    <definedName name="_A66000" localSheetId="1">[1]opsumm!#REF!</definedName>
    <definedName name="_A66000" localSheetId="3">[1]opsumm!#REF!</definedName>
    <definedName name="_A66000">[1]opsumm!#REF!</definedName>
    <definedName name="_CAP1" localSheetId="1">[3]CAP!#REF!</definedName>
    <definedName name="_CAP1" localSheetId="3">[3]CAP!#REF!</definedName>
    <definedName name="_CAP1">[3]CAP!#REF!</definedName>
    <definedName name="_xlnm._FilterDatabase" localSheetId="5" hidden="1">'FY21 Bud Payer Mix HIDE'!$B$12:$V$31</definedName>
    <definedName name="_Key1" localSheetId="1" hidden="1">'[4]000'!#REF!</definedName>
    <definedName name="_Key1" localSheetId="3" hidden="1">'[4]000'!#REF!</definedName>
    <definedName name="_Key1" hidden="1">'[4]000'!#REF!</definedName>
    <definedName name="_Order1" hidden="1">0</definedName>
    <definedName name="_Order2" hidden="1">0</definedName>
    <definedName name="_Parse_In" localSheetId="1" hidden="1">#REF!</definedName>
    <definedName name="_Parse_In" localSheetId="3" hidden="1">#REF!</definedName>
    <definedName name="_Parse_In" hidden="1">#REF!</definedName>
    <definedName name="_TB3">[5]TB!$A$2:$C$1551</definedName>
    <definedName name="Access_Load" localSheetId="1">#REF!</definedName>
    <definedName name="Access_Load" localSheetId="3">#REF!</definedName>
    <definedName name="Access_Load">#REF!</definedName>
    <definedName name="ACCT">[6]Hidden!$F$11</definedName>
    <definedName name="ADC_IP" localSheetId="1">#REF!</definedName>
    <definedName name="ADC_IP" localSheetId="3">#REF!</definedName>
    <definedName name="ADC_IP">#REF!</definedName>
    <definedName name="ADCTable">[7]ADC!$W$70:$AM$224</definedName>
    <definedName name="Adjusted_Patient_Days" localSheetId="1">#REF!</definedName>
    <definedName name="Adjusted_Patient_Days" localSheetId="3">#REF!</definedName>
    <definedName name="Adjusted_Patient_Days">#REF!</definedName>
    <definedName name="Admissions_Adjusted" localSheetId="1">#REF!</definedName>
    <definedName name="Admissions_Adjusted" localSheetId="3">#REF!</definedName>
    <definedName name="Admissions_Adjusted">#REF!</definedName>
    <definedName name="Admissions_IP" localSheetId="1">#REF!</definedName>
    <definedName name="Admissions_IP" localSheetId="3">#REF!</definedName>
    <definedName name="Admissions_IP">#REF!</definedName>
    <definedName name="AGE" localSheetId="1">#REF!</definedName>
    <definedName name="AGE" localSheetId="3">#REF!</definedName>
    <definedName name="AGE">#REF!</definedName>
    <definedName name="AR" localSheetId="1">#REF!</definedName>
    <definedName name="AR" localSheetId="3">#REF!</definedName>
    <definedName name="AR">#REF!</definedName>
    <definedName name="AREA_COLUMN_LABEL" localSheetId="1">[8]Evaluation!#REF!</definedName>
    <definedName name="AREA_COLUMN_LABEL" localSheetId="3">[8]Evaluation!#REF!</definedName>
    <definedName name="AREA_COLUMN_LABEL">[8]Evaluation!#REF!</definedName>
    <definedName name="B_BalSht" localSheetId="1">#REF!</definedName>
    <definedName name="B_BalSht" localSheetId="3">#REF!</definedName>
    <definedName name="B_BalSht">#REF!</definedName>
    <definedName name="Bal_Acct" localSheetId="1">#REF!</definedName>
    <definedName name="Bal_Acct" localSheetId="3">#REF!</definedName>
    <definedName name="Bal_Acct">#REF!</definedName>
    <definedName name="Bal_MTD" localSheetId="1">#REF!</definedName>
    <definedName name="Bal_MTD" localSheetId="3">#REF!</definedName>
    <definedName name="Bal_MTD">#REF!</definedName>
    <definedName name="Bal_YTD" localSheetId="1">#REF!</definedName>
    <definedName name="Bal_YTD" localSheetId="3">#REF!</definedName>
    <definedName name="Bal_YTD">#REF!</definedName>
    <definedName name="BalSht" localSheetId="1">#REF!</definedName>
    <definedName name="BalSht" localSheetId="3">#REF!</definedName>
    <definedName name="BalSht">#REF!</definedName>
    <definedName name="BSMAP" localSheetId="3">#REF!</definedName>
    <definedName name="BSMAP">#REF!</definedName>
    <definedName name="Budget" localSheetId="1">#REF!</definedName>
    <definedName name="Budget" localSheetId="3">#REF!</definedName>
    <definedName name="Budget">#REF!</definedName>
    <definedName name="BudgetInput">'[9]Budget Input'!$C$10:$AN$302</definedName>
    <definedName name="CAP" localSheetId="1">[3]CAP!#REF!</definedName>
    <definedName name="CAP" localSheetId="3">[3]CAP!#REF!</definedName>
    <definedName name="CAP">[3]CAP!#REF!</definedName>
    <definedName name="Capital_Accounts" localSheetId="1">#REF!</definedName>
    <definedName name="Capital_Accounts" localSheetId="3">#REF!</definedName>
    <definedName name="Capital_Accounts">#REF!</definedName>
    <definedName name="colgroup">[6]Orientation!$G$6</definedName>
    <definedName name="colsegment">[6]Orientation!$F$6</definedName>
    <definedName name="Column1">[10]Options!$A$3:$A$85</definedName>
    <definedName name="Column2">[10]Options!$G$3:$G$120</definedName>
    <definedName name="Comm_AR" localSheetId="1">#REF!</definedName>
    <definedName name="Comm_AR" localSheetId="3">#REF!</definedName>
    <definedName name="Comm_AR">#REF!</definedName>
    <definedName name="Complexity_Factor">'[11]Client Profile'!$L$9</definedName>
    <definedName name="Consulting_Complexity_Factor">[11]Assumptions!$L$30</definedName>
    <definedName name="Contract_Complexity_Factor">[11]Assumptions!$K$30</definedName>
    <definedName name="Conversion_Complexity_Factor">[11]Assumptions!$H$30</definedName>
    <definedName name="CostCenter" localSheetId="1">#REF!</definedName>
    <definedName name="CostCenter" localSheetId="3">#REF!</definedName>
    <definedName name="CostCenter">#REF!</definedName>
    <definedName name="CritO" localSheetId="1">[12]OPReport!#REF!</definedName>
    <definedName name="CritO" localSheetId="3">[12]OPReport!#REF!</definedName>
    <definedName name="CritO">[12]OPReport!#REF!</definedName>
    <definedName name="Data" localSheetId="1">#REF!</definedName>
    <definedName name="Data" localSheetId="3">#REF!</definedName>
    <definedName name="Data">#REF!</definedName>
    <definedName name="DAYS">[13]Statistics!$L$11:$N$22</definedName>
    <definedName name="DEPT">[6]Hidden!$D$11</definedName>
    <definedName name="drlFilter">[6]Settings!$D$27</definedName>
    <definedName name="End" localSheetId="1">#REF!</definedName>
    <definedName name="End" localSheetId="3">#REF!</definedName>
    <definedName name="End">#REF!</definedName>
    <definedName name="filter">[6]Settings!$B$14:$H$25</definedName>
    <definedName name="FM_Data" localSheetId="1">#REF!</definedName>
    <definedName name="FM_Data" localSheetId="3">#REF!</definedName>
    <definedName name="FM_Data">#REF!</definedName>
    <definedName name="fy2000_budget">'[14]FY Budget Items'!$B$15:$AA$26</definedName>
    <definedName name="FY2001_budget">'[14]FY Budget Items'!$B$2:$AF$13</definedName>
    <definedName name="FY2004_budget">'[14]FY Budget Items'!$B$2:$AS$13</definedName>
    <definedName name="FY2005_budget">'[14]FY Budget Items'!$B$2:$BB$13</definedName>
    <definedName name="GL_Codes" localSheetId="1">#REF!</definedName>
    <definedName name="GL_Codes" localSheetId="3">#REF!</definedName>
    <definedName name="GL_Codes">#REF!</definedName>
    <definedName name="Hardware_Complexity_Factor">[11]Assumptions!$C$30</definedName>
    <definedName name="Hardware_Depreciation_Term">[11]Assumptions!$C$20</definedName>
    <definedName name="hide1">[15]Cover!$A$18:$B$29</definedName>
    <definedName name="InSumm" localSheetId="1">#REF!</definedName>
    <definedName name="InSumm" localSheetId="3">#REF!</definedName>
    <definedName name="InSumm">#REF!</definedName>
    <definedName name="Interface_Complexity_Factor">[11]Assumptions!$G$30</definedName>
    <definedName name="IPsumm" localSheetId="1">#REF!</definedName>
    <definedName name="IPsumm" localSheetId="3">#REF!</definedName>
    <definedName name="IPsumm">#REF!</definedName>
    <definedName name="Level">'[11]Client Profile'!$L$7</definedName>
    <definedName name="LookupTable">'[9]Budget Input'!$H$882:$N$905</definedName>
    <definedName name="master_def" localSheetId="1">#REF!</definedName>
    <definedName name="master_def" localSheetId="3">#REF!</definedName>
    <definedName name="master_def">#REF!</definedName>
    <definedName name="Mcaid_AR" localSheetId="1">#REF!</definedName>
    <definedName name="Mcaid_AR" localSheetId="3">#REF!</definedName>
    <definedName name="Mcaid_AR">#REF!</definedName>
    <definedName name="Mcare_AR" localSheetId="1">#REF!</definedName>
    <definedName name="Mcare_AR" localSheetId="3">#REF!</definedName>
    <definedName name="Mcare_AR">#REF!</definedName>
    <definedName name="MetaSet">[6]Orientation!$C$22</definedName>
    <definedName name="monroe" localSheetId="1">#REF!</definedName>
    <definedName name="monroe" localSheetId="3">#REF!</definedName>
    <definedName name="monroe">#REF!</definedName>
    <definedName name="NetGross">'[16]Net to Gross'!$A$6:$L$132</definedName>
    <definedName name="Network_Complexity_Factor">[11]Assumptions!$E$30</definedName>
    <definedName name="NewAR" localSheetId="1">#REF!</definedName>
    <definedName name="NewAR" localSheetId="3">#REF!</definedName>
    <definedName name="NewAR">#REF!</definedName>
    <definedName name="o" localSheetId="1">#REF!</definedName>
    <definedName name="o" localSheetId="3">#REF!</definedName>
    <definedName name="o">#REF!</definedName>
    <definedName name="Operational_Accounts" localSheetId="1">#REF!</definedName>
    <definedName name="Operational_Accounts" localSheetId="3">#REF!</definedName>
    <definedName name="Operational_Accounts">#REF!</definedName>
    <definedName name="Operational_Accounts2" localSheetId="1">#REF!</definedName>
    <definedName name="Operational_Accounts2" localSheetId="3">#REF!</definedName>
    <definedName name="Operational_Accounts2">#REF!</definedName>
    <definedName name="opsumm" localSheetId="1">#REF!</definedName>
    <definedName name="opsumm" localSheetId="3">#REF!</definedName>
    <definedName name="opsumm">#REF!</definedName>
    <definedName name="Options">[17]List!$B$3:$B$52</definedName>
    <definedName name="OutSum" localSheetId="1">#REF!</definedName>
    <definedName name="OutSum" localSheetId="3">#REF!</definedName>
    <definedName name="OutSum">#REF!</definedName>
    <definedName name="Patient_Days_IP" localSheetId="1">#REF!</definedName>
    <definedName name="Patient_Days_IP" localSheetId="3">#REF!</definedName>
    <definedName name="Patient_Days_IP">#REF!</definedName>
    <definedName name="PAYER" localSheetId="1">#REF!</definedName>
    <definedName name="PAYER" localSheetId="3">#REF!</definedName>
    <definedName name="PAYER">#REF!</definedName>
    <definedName name="Peripheral_Complexity_Factor">[11]Assumptions!$F$30</definedName>
    <definedName name="Peripheral_Depreciation_Term">[11]Assumptions!$C$22</definedName>
    <definedName name="PL" localSheetId="1">#REF!</definedName>
    <definedName name="PL" localSheetId="3">#REF!</definedName>
    <definedName name="PL">#REF!</definedName>
    <definedName name="PosChange">'[18]Detailed Changes'!$B$41:$D$52</definedName>
    <definedName name="PPSSummary" localSheetId="1">#REF!</definedName>
    <definedName name="PPSSummary" localSheetId="3">#REF!</definedName>
    <definedName name="PPSSummary">#REF!</definedName>
    <definedName name="Prescriptions" hidden="1">{"add",#N/A,FALSE,"code"}</definedName>
    <definedName name="primtbl">[6]Orientation!$C$23</definedName>
    <definedName name="_xlnm.Print_Area" localSheetId="1">'1. Reconciliation'!$B$6:$O$115</definedName>
    <definedName name="_xlnm.Print_Area" localSheetId="6">'2. Charge and NPR Detail'!$A$2:$H$49</definedName>
    <definedName name="_xlnm.Print_Area" localSheetId="7">'3. Utilization'!$B$1:$D$30</definedName>
    <definedName name="_xlnm.Print_Area" localSheetId="8">'4. Inflation'!$B$1:$D$20</definedName>
    <definedName name="_xlnm.Print_Area" localSheetId="9">'5. Vaccine Clinics and Testing'!$B$7:$D$48</definedName>
    <definedName name="_xlnm.Print_Area" localSheetId="10">'6. Value Based Care Participati'!$B$2:$F$15</definedName>
    <definedName name="_xlnm.Print_Area" localSheetId="3">'Bud to Bud Sum by Payer HIDE'!$B$6:$O$115</definedName>
    <definedName name="_xlnm.Print_Area" localSheetId="5">'FY21 Bud Payer Mix HIDE'!$B$12:$X$31</definedName>
    <definedName name="_xlnm.Print_Area" localSheetId="2">'INCOME STATEMENT 0% INCR HIDE'!$A$1:$M$46</definedName>
    <definedName name="_xlnm.Print_Area" localSheetId="0">Overview!$A$1:$B$13</definedName>
    <definedName name="_xlnm.Print_Titles" localSheetId="1">'1. Reconciliation'!$2:$4</definedName>
    <definedName name="_xlnm.Print_Titles" localSheetId="3">'Bud to Bud Sum by Payer HIDE'!$2:$4</definedName>
    <definedName name="_xlnm.Print_Titles" localSheetId="5">'FY21 Bud Payer Mix HIDE'!$B:$B,'FY21 Bud Payer Mix HIDE'!$8:$11</definedName>
    <definedName name="_xlnm.Print_Titles">#REF!</definedName>
    <definedName name="prof" localSheetId="1">#REF!</definedName>
    <definedName name="prof" localSheetId="3">#REF!</definedName>
    <definedName name="prof">#REF!</definedName>
    <definedName name="Rate_nmc" localSheetId="1" hidden="1">#REF!</definedName>
    <definedName name="Rate_nmc" localSheetId="3" hidden="1">#REF!</definedName>
    <definedName name="Rate_nmc" hidden="1">#REF!</definedName>
    <definedName name="Rate_nmc1" localSheetId="1" hidden="1">#REF!</definedName>
    <definedName name="Rate_nmc1" localSheetId="3" hidden="1">#REF!</definedName>
    <definedName name="Rate_nmc1" hidden="1">#REF!</definedName>
    <definedName name="REHAB" localSheetId="1">'[19]M''care IP DRG'!#REF!</definedName>
    <definedName name="REHAB" localSheetId="3">'[19]M''care IP DRG'!#REF!</definedName>
    <definedName name="REHAB">'[19]M''care IP DRG'!#REF!</definedName>
    <definedName name="report_type">[6]Orientation!$C$24</definedName>
    <definedName name="REPORT1" localSheetId="1">#REF!</definedName>
    <definedName name="REPORT1" localSheetId="3">#REF!</definedName>
    <definedName name="REPORT1">#REF!</definedName>
    <definedName name="REPORT11" localSheetId="1">#REF!</definedName>
    <definedName name="REPORT11" localSheetId="3">#REF!</definedName>
    <definedName name="REPORT11">#REF!</definedName>
    <definedName name="REPORT3" localSheetId="1">#REF!</definedName>
    <definedName name="REPORT3" localSheetId="3">#REF!</definedName>
    <definedName name="REPORT3">#REF!</definedName>
    <definedName name="REPORT4" localSheetId="1">#REF!</definedName>
    <definedName name="REPORT4" localSheetId="3">#REF!</definedName>
    <definedName name="REPORT4">#REF!</definedName>
    <definedName name="REPORT5" localSheetId="1">#REF!</definedName>
    <definedName name="REPORT5" localSheetId="3">#REF!</definedName>
    <definedName name="REPORT5">#REF!</definedName>
    <definedName name="REPORT6" localSheetId="1">#REF!</definedName>
    <definedName name="REPORT6" localSheetId="3">#REF!</definedName>
    <definedName name="REPORT6">#REF!</definedName>
    <definedName name="REPORT7" localSheetId="1">#REF!</definedName>
    <definedName name="REPORT7" localSheetId="3">#REF!</definedName>
    <definedName name="REPORT7">#REF!</definedName>
    <definedName name="REPORT8" localSheetId="1">#REF!</definedName>
    <definedName name="REPORT8" localSheetId="3">#REF!</definedName>
    <definedName name="REPORT8">#REF!</definedName>
    <definedName name="ReportVersion">[6]Settings!$D$5</definedName>
    <definedName name="RevbyPayor">[16]Stats!$A$8:$V$124</definedName>
    <definedName name="Revenue" localSheetId="1">#REF!</definedName>
    <definedName name="Revenue" localSheetId="3">#REF!</definedName>
    <definedName name="Revenue">#REF!</definedName>
    <definedName name="rngCreateLog">[6]Delivery!$B$12</definedName>
    <definedName name="rngFilePassword">[6]Delivery!$B$6</definedName>
    <definedName name="rngSourceTab">[6]Delivery!$E$8</definedName>
    <definedName name="rowgroup">[6]Orientation!$C$17</definedName>
    <definedName name="rowsegment">[6]Orientation!$B$17</definedName>
    <definedName name="ScenGrpList">OFFSET([20]Control!$AG$1,0,0,COUNTIF([20]Control!$AG:$AG,"&gt;"""),1)</definedName>
    <definedName name="Sequential_Group">[6]Settings!$J$6</definedName>
    <definedName name="Sequential_Segment">[6]Settings!$I$6</definedName>
    <definedName name="Sequential_Sort">[6]Settings!$I$10:$J$11</definedName>
    <definedName name="Slicer_Category">#N/A</definedName>
    <definedName name="Software_Complexity_Factor">[11]Assumptions!$D$30</definedName>
    <definedName name="Software_Depreciation_Term">[11]Assumptions!$C$21</definedName>
    <definedName name="sortcol" localSheetId="1">#REF!</definedName>
    <definedName name="sortcol" localSheetId="3">#REF!</definedName>
    <definedName name="sortcol">#REF!</definedName>
    <definedName name="Staff_Complexity_Factor">[11]Assumptions!$I$30</definedName>
    <definedName name="START" localSheetId="1">#REF!</definedName>
    <definedName name="START" localSheetId="3">#REF!</definedName>
    <definedName name="START">#REF!</definedName>
    <definedName name="STAT">[21]List!$A$2:$A$88</definedName>
    <definedName name="Stat2">[21]List!$A$2:$A$88</definedName>
    <definedName name="Supplemental_filter">[6]Settings!$C$31</definedName>
    <definedName name="TB" localSheetId="3">#REF!</definedName>
    <definedName name="TB">#REF!</definedName>
    <definedName name="Time">[10]Options!$L$4:$L$49</definedName>
    <definedName name="timeseries">[6]Orientation!$B$6:$C$13</definedName>
    <definedName name="Types">[22]t!$A$2:$A$7</definedName>
    <definedName name="Untitled" localSheetId="3">[23]TOTALL!#REF!</definedName>
    <definedName name="Untitled">[23]TOTALL!#REF!</definedName>
    <definedName name="Vendor_Complexity_Factor">[11]Assumptions!$J$30</definedName>
    <definedName name="w" hidden="1">{"add",#N/A,FALSE,"code"}</definedName>
    <definedName name="WC_AR" localSheetId="1">#REF!</definedName>
    <definedName name="WC_AR" localSheetId="3">#REF!</definedName>
    <definedName name="WC_AR">#REF!</definedName>
    <definedName name="wrn.rep1." hidden="1">{"add",#N/A,FALSE,"code"}</definedName>
    <definedName name="wrn.rep1._1" hidden="1">{"add",#N/A,FALSE,"code"}</definedName>
    <definedName name="x" localSheetId="1" hidden="1">#REF!</definedName>
    <definedName name="x" localSheetId="3" hidden="1">#REF!</definedName>
    <definedName name="x" hidden="1">#REF!</definedName>
    <definedName name="xperiod">[6]Orientation!$G$15</definedName>
    <definedName name="xtabin">[6]Hidden!$D$10:$H$11</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1" i="22" l="1"/>
  <c r="C80" i="22"/>
  <c r="C79" i="22"/>
  <c r="C78" i="22"/>
  <c r="C77" i="22"/>
  <c r="C76" i="22"/>
  <c r="C75" i="22"/>
  <c r="C74" i="22"/>
  <c r="C72" i="22"/>
  <c r="C71" i="22"/>
  <c r="E70" i="22"/>
  <c r="C70" i="22" s="1"/>
  <c r="D13" i="7" l="1"/>
  <c r="I10" i="7"/>
  <c r="D26" i="7" s="1"/>
  <c r="D107" i="22"/>
  <c r="D105" i="22"/>
  <c r="D104" i="22"/>
  <c r="D103" i="22"/>
  <c r="D102" i="22"/>
  <c r="D101" i="22"/>
  <c r="D100" i="22"/>
  <c r="D99" i="22"/>
  <c r="D98" i="22"/>
  <c r="D97" i="22"/>
  <c r="C96" i="22"/>
  <c r="D96" i="22" s="1"/>
  <c r="D95" i="22"/>
  <c r="D94" i="22"/>
  <c r="C96" i="27"/>
  <c r="F9" i="27" l="1"/>
  <c r="D107" i="27"/>
  <c r="D105" i="27"/>
  <c r="D104" i="27"/>
  <c r="D103" i="27"/>
  <c r="D102" i="27"/>
  <c r="D101" i="27"/>
  <c r="D100" i="27"/>
  <c r="D99" i="27"/>
  <c r="D98" i="27"/>
  <c r="D96" i="27"/>
  <c r="D94" i="27"/>
  <c r="H82" i="27"/>
  <c r="H84" i="27" s="1"/>
  <c r="H85" i="27" s="1"/>
  <c r="C81" i="27"/>
  <c r="C80" i="27"/>
  <c r="C79" i="27"/>
  <c r="C78" i="27"/>
  <c r="C77" i="27"/>
  <c r="C76" i="27"/>
  <c r="C75" i="27"/>
  <c r="C74" i="27"/>
  <c r="G73" i="27"/>
  <c r="F73" i="27"/>
  <c r="E73" i="27"/>
  <c r="E82" i="27" s="1"/>
  <c r="E84" i="27" s="1"/>
  <c r="E85" i="27" s="1"/>
  <c r="D73" i="27"/>
  <c r="D82" i="27" s="1"/>
  <c r="D84" i="27" s="1"/>
  <c r="D85" i="27" s="1"/>
  <c r="C73" i="27"/>
  <c r="C72" i="27"/>
  <c r="C71" i="27"/>
  <c r="G70" i="27"/>
  <c r="F70" i="27"/>
  <c r="F82" i="27" s="1"/>
  <c r="F84" i="27" s="1"/>
  <c r="F85" i="27" s="1"/>
  <c r="C57" i="27"/>
  <c r="D51" i="27"/>
  <c r="D49" i="27"/>
  <c r="C48" i="27"/>
  <c r="D48" i="27" s="1"/>
  <c r="D47" i="27"/>
  <c r="D46" i="27"/>
  <c r="D45" i="27"/>
  <c r="D44" i="27"/>
  <c r="D43" i="27"/>
  <c r="D42" i="27"/>
  <c r="C41" i="27"/>
  <c r="D97" i="27" s="1"/>
  <c r="D40" i="27"/>
  <c r="D38" i="27"/>
  <c r="C22" i="27"/>
  <c r="C21" i="27"/>
  <c r="C20" i="27"/>
  <c r="C19" i="27"/>
  <c r="C18" i="27"/>
  <c r="C17" i="27"/>
  <c r="C16" i="27"/>
  <c r="C15" i="27"/>
  <c r="C13" i="27"/>
  <c r="H11" i="27"/>
  <c r="H23" i="27" s="1"/>
  <c r="H25" i="27" s="1"/>
  <c r="E11" i="27"/>
  <c r="D11" i="27"/>
  <c r="H107" i="26"/>
  <c r="H87" i="26"/>
  <c r="B78" i="26"/>
  <c r="B77" i="26"/>
  <c r="B76" i="26"/>
  <c r="B75" i="26"/>
  <c r="B73" i="26"/>
  <c r="H62" i="26"/>
  <c r="G62" i="26"/>
  <c r="F62" i="26"/>
  <c r="H45" i="26"/>
  <c r="H78" i="26" s="1"/>
  <c r="H76" i="26"/>
  <c r="K36" i="26"/>
  <c r="M36" i="26" s="1"/>
  <c r="K35" i="26"/>
  <c r="J34" i="26"/>
  <c r="I34" i="26"/>
  <c r="L34" i="26" s="1"/>
  <c r="J33" i="26"/>
  <c r="K30" i="26"/>
  <c r="M30" i="26" s="1"/>
  <c r="I29" i="26"/>
  <c r="L29" i="26" s="1"/>
  <c r="K29" i="26"/>
  <c r="M29" i="26" s="1"/>
  <c r="K28" i="26"/>
  <c r="M28" i="26" s="1"/>
  <c r="I27" i="26"/>
  <c r="L27" i="26" s="1"/>
  <c r="K27" i="26"/>
  <c r="M27" i="26" s="1"/>
  <c r="M26" i="26"/>
  <c r="K26" i="26"/>
  <c r="H42" i="26"/>
  <c r="H75" i="26" s="1"/>
  <c r="I25" i="26"/>
  <c r="L25" i="26" s="1"/>
  <c r="K25" i="26"/>
  <c r="M25" i="26" s="1"/>
  <c r="K24" i="26"/>
  <c r="M24" i="26" s="1"/>
  <c r="J24" i="26"/>
  <c r="I23" i="26"/>
  <c r="L23" i="26" s="1"/>
  <c r="K23" i="26"/>
  <c r="M23" i="26" s="1"/>
  <c r="K22" i="26"/>
  <c r="M22" i="26" s="1"/>
  <c r="J21" i="26"/>
  <c r="K20" i="26"/>
  <c r="M20" i="26" s="1"/>
  <c r="K19" i="26"/>
  <c r="M19" i="26" s="1"/>
  <c r="I19" i="26"/>
  <c r="L19" i="26" s="1"/>
  <c r="J19" i="26"/>
  <c r="J18" i="26"/>
  <c r="I18" i="26"/>
  <c r="L18" i="26" s="1"/>
  <c r="H31" i="26"/>
  <c r="F31" i="26"/>
  <c r="E31" i="26"/>
  <c r="D31" i="26"/>
  <c r="C31" i="26"/>
  <c r="J17" i="26"/>
  <c r="I14" i="26"/>
  <c r="L14" i="26" s="1"/>
  <c r="J14" i="26"/>
  <c r="K14" i="26"/>
  <c r="M14" i="26" s="1"/>
  <c r="K11" i="26"/>
  <c r="M11" i="26" s="1"/>
  <c r="K10" i="26"/>
  <c r="M10" i="26" s="1"/>
  <c r="K9" i="26"/>
  <c r="M9" i="26" s="1"/>
  <c r="H12" i="26"/>
  <c r="G12" i="26"/>
  <c r="F12" i="26"/>
  <c r="E12" i="26"/>
  <c r="D12" i="26"/>
  <c r="C12" i="26"/>
  <c r="F6" i="26"/>
  <c r="K5" i="26"/>
  <c r="M5" i="26" s="1"/>
  <c r="J5" i="26"/>
  <c r="K4" i="26"/>
  <c r="M4" i="26" s="1"/>
  <c r="C6" i="26"/>
  <c r="C13" i="26" s="1"/>
  <c r="J3" i="26"/>
  <c r="I3" i="26"/>
  <c r="L3" i="26" s="1"/>
  <c r="E6" i="26"/>
  <c r="D6" i="26"/>
  <c r="D9" i="27" l="1"/>
  <c r="D41" i="27"/>
  <c r="E9" i="27"/>
  <c r="G82" i="27"/>
  <c r="G84" i="27" s="1"/>
  <c r="C70" i="27"/>
  <c r="G11" i="27"/>
  <c r="G9" i="27" s="1"/>
  <c r="D13" i="26"/>
  <c r="E13" i="26"/>
  <c r="F13" i="26"/>
  <c r="C16" i="26"/>
  <c r="C15" i="26"/>
  <c r="C32" i="26" s="1"/>
  <c r="C37" i="26" s="1"/>
  <c r="K12" i="26"/>
  <c r="M12" i="26" s="1"/>
  <c r="J12" i="26"/>
  <c r="I12" i="26"/>
  <c r="L12" i="26" s="1"/>
  <c r="J31" i="26"/>
  <c r="I31" i="26"/>
  <c r="L31" i="26" s="1"/>
  <c r="J10" i="26"/>
  <c r="I9" i="26"/>
  <c r="L9" i="26" s="1"/>
  <c r="I20" i="26"/>
  <c r="L20" i="26" s="1"/>
  <c r="I22" i="26"/>
  <c r="L22" i="26" s="1"/>
  <c r="H6" i="26"/>
  <c r="E29" i="7" s="1"/>
  <c r="J8" i="26"/>
  <c r="I11" i="26"/>
  <c r="L11" i="26" s="1"/>
  <c r="K3" i="26"/>
  <c r="M3" i="26" s="1"/>
  <c r="I5" i="26"/>
  <c r="L5" i="26" s="1"/>
  <c r="J9" i="26"/>
  <c r="J11" i="26"/>
  <c r="K18" i="26"/>
  <c r="M18" i="26" s="1"/>
  <c r="J20" i="26"/>
  <c r="J22" i="26"/>
  <c r="I24" i="26"/>
  <c r="L24" i="26" s="1"/>
  <c r="I26" i="26"/>
  <c r="L26" i="26" s="1"/>
  <c r="I28" i="26"/>
  <c r="L28" i="26" s="1"/>
  <c r="I30" i="26"/>
  <c r="L30" i="26" s="1"/>
  <c r="K34" i="26"/>
  <c r="H44" i="26"/>
  <c r="H77" i="26" s="1"/>
  <c r="J26" i="26"/>
  <c r="J28" i="26"/>
  <c r="J30" i="26"/>
  <c r="I35" i="26"/>
  <c r="F50" i="26"/>
  <c r="G31" i="26"/>
  <c r="K31" i="26" s="1"/>
  <c r="M31" i="26" s="1"/>
  <c r="J35" i="26"/>
  <c r="G50" i="26"/>
  <c r="I4" i="26"/>
  <c r="L4" i="26" s="1"/>
  <c r="G6" i="26"/>
  <c r="I8" i="26"/>
  <c r="L8" i="26" s="1"/>
  <c r="I10" i="26"/>
  <c r="L10" i="26" s="1"/>
  <c r="I21" i="26"/>
  <c r="L21" i="26" s="1"/>
  <c r="I36" i="26"/>
  <c r="J4" i="26"/>
  <c r="J36" i="26"/>
  <c r="K8" i="26"/>
  <c r="M8" i="26" s="1"/>
  <c r="K21" i="26"/>
  <c r="M21" i="26" s="1"/>
  <c r="J23" i="26"/>
  <c r="J25" i="26"/>
  <c r="J27" i="26"/>
  <c r="J29" i="26"/>
  <c r="C82" i="27" l="1"/>
  <c r="J70" i="27"/>
  <c r="C11" i="27"/>
  <c r="D95" i="27"/>
  <c r="F15" i="26"/>
  <c r="F32" i="26" s="1"/>
  <c r="F37" i="26" s="1"/>
  <c r="F16" i="26"/>
  <c r="D15" i="26"/>
  <c r="D32" i="26" s="1"/>
  <c r="D37" i="26" s="1"/>
  <c r="D16" i="26"/>
  <c r="E15" i="26"/>
  <c r="E32" i="26" s="1"/>
  <c r="E37" i="26" s="1"/>
  <c r="E16" i="26"/>
  <c r="H13" i="26"/>
  <c r="J6" i="26"/>
  <c r="I6" i="26"/>
  <c r="L6" i="26" s="1"/>
  <c r="K6" i="26"/>
  <c r="M6" i="26" s="1"/>
  <c r="G13" i="26"/>
  <c r="C86" i="27" l="1"/>
  <c r="C84" i="27"/>
  <c r="C85" i="27" s="1"/>
  <c r="H80" i="26"/>
  <c r="H16" i="26"/>
  <c r="J16" i="26" s="1"/>
  <c r="K13" i="26"/>
  <c r="J13" i="26"/>
  <c r="I13" i="26"/>
  <c r="L13" i="26" s="1"/>
  <c r="H15" i="26"/>
  <c r="G15" i="26"/>
  <c r="G16" i="26"/>
  <c r="M13" i="26" l="1"/>
  <c r="H30" i="22"/>
  <c r="H30" i="27"/>
  <c r="G32" i="26"/>
  <c r="H88" i="26"/>
  <c r="K15" i="26"/>
  <c r="M15" i="26" s="1"/>
  <c r="J15" i="26"/>
  <c r="I15" i="26"/>
  <c r="L15" i="26" s="1"/>
  <c r="H32" i="26"/>
  <c r="G37" i="26" l="1"/>
  <c r="H41" i="26"/>
  <c r="H37" i="26"/>
  <c r="K32" i="26"/>
  <c r="M32" i="26" s="1"/>
  <c r="J32" i="26"/>
  <c r="I32" i="26"/>
  <c r="L32" i="26" s="1"/>
  <c r="I37" i="26" l="1"/>
  <c r="L37" i="26" s="1"/>
  <c r="K37" i="26"/>
  <c r="M37" i="26" s="1"/>
  <c r="J37" i="26"/>
  <c r="H46" i="26"/>
  <c r="H74" i="26"/>
  <c r="H79" i="26" s="1"/>
  <c r="H81" i="26" s="1"/>
  <c r="H84" i="26" l="1"/>
  <c r="H82" i="26"/>
  <c r="H89" i="26"/>
  <c r="H85" i="26"/>
  <c r="H91" i="26" l="1"/>
  <c r="H90" i="26"/>
  <c r="H92" i="26"/>
  <c r="J70" i="22" l="1"/>
  <c r="L81" i="23"/>
  <c r="H81" i="23"/>
  <c r="H11" i="22"/>
  <c r="E11" i="22"/>
  <c r="F81" i="23" s="1"/>
  <c r="D11" i="22"/>
  <c r="E81" i="23" s="1"/>
  <c r="H72" i="24"/>
  <c r="G72" i="24"/>
  <c r="E72" i="24"/>
  <c r="D72" i="24"/>
  <c r="C72" i="24"/>
  <c r="L71" i="24"/>
  <c r="H71" i="24"/>
  <c r="G71" i="24"/>
  <c r="F71" i="24"/>
  <c r="E71" i="24"/>
  <c r="D71" i="24"/>
  <c r="C71" i="24"/>
  <c r="O70" i="24"/>
  <c r="H70" i="24"/>
  <c r="G70" i="24"/>
  <c r="F70" i="24"/>
  <c r="E70" i="24"/>
  <c r="D70" i="24"/>
  <c r="C70" i="24"/>
  <c r="T69" i="24"/>
  <c r="S69" i="24"/>
  <c r="L69" i="24"/>
  <c r="H69" i="24"/>
  <c r="G69" i="24"/>
  <c r="F69" i="24"/>
  <c r="E69" i="24"/>
  <c r="D69" i="24"/>
  <c r="C69" i="24"/>
  <c r="H68" i="24"/>
  <c r="G68" i="24"/>
  <c r="E68" i="24"/>
  <c r="D68" i="24"/>
  <c r="C68" i="24"/>
  <c r="S67" i="24"/>
  <c r="R67" i="24"/>
  <c r="H67" i="24"/>
  <c r="G67" i="24"/>
  <c r="F67" i="24"/>
  <c r="E67" i="24"/>
  <c r="D67" i="24"/>
  <c r="C67" i="24"/>
  <c r="H66" i="24"/>
  <c r="G66" i="24"/>
  <c r="E66" i="24"/>
  <c r="D66" i="24"/>
  <c r="C66" i="24"/>
  <c r="H65" i="24"/>
  <c r="G65" i="24"/>
  <c r="F65" i="24"/>
  <c r="E65" i="24"/>
  <c r="D65" i="24"/>
  <c r="C65" i="24"/>
  <c r="H64" i="24"/>
  <c r="G64" i="24"/>
  <c r="F64" i="24"/>
  <c r="E64" i="24"/>
  <c r="D64" i="24"/>
  <c r="C64" i="24"/>
  <c r="U57" i="24"/>
  <c r="F57" i="24"/>
  <c r="F72" i="24" s="1"/>
  <c r="V55" i="24"/>
  <c r="T51" i="24"/>
  <c r="S51" i="24"/>
  <c r="R51" i="24"/>
  <c r="Q51" i="24"/>
  <c r="P51" i="24"/>
  <c r="P55" i="24" s="1"/>
  <c r="O51" i="24"/>
  <c r="O55" i="24" s="1"/>
  <c r="N51" i="24"/>
  <c r="N55" i="24" s="1"/>
  <c r="M51" i="24"/>
  <c r="M55" i="24" s="1"/>
  <c r="L51" i="24"/>
  <c r="K51" i="24"/>
  <c r="J51" i="24"/>
  <c r="J55" i="24" s="1"/>
  <c r="I51" i="24"/>
  <c r="I55" i="24" s="1"/>
  <c r="F51" i="24"/>
  <c r="U48" i="24"/>
  <c r="U47" i="24"/>
  <c r="V44" i="24"/>
  <c r="T40" i="24"/>
  <c r="T44" i="24" s="1"/>
  <c r="S40" i="24"/>
  <c r="S44" i="24" s="1"/>
  <c r="R40" i="24"/>
  <c r="R44" i="24" s="1"/>
  <c r="Q40" i="24"/>
  <c r="Q44" i="24" s="1"/>
  <c r="P40" i="24"/>
  <c r="P44" i="24" s="1"/>
  <c r="O40" i="24"/>
  <c r="O44" i="24" s="1"/>
  <c r="N40" i="24"/>
  <c r="N44" i="24" s="1"/>
  <c r="M40" i="24"/>
  <c r="M44" i="24" s="1"/>
  <c r="L40" i="24"/>
  <c r="L44" i="24" s="1"/>
  <c r="F40" i="24"/>
  <c r="J40" i="24"/>
  <c r="J44" i="24" s="1"/>
  <c r="I40" i="24"/>
  <c r="I44" i="24" s="1"/>
  <c r="U37" i="24"/>
  <c r="U36" i="24"/>
  <c r="V33" i="24"/>
  <c r="T33" i="24"/>
  <c r="T29" i="24"/>
  <c r="S29" i="24"/>
  <c r="S33" i="24" s="1"/>
  <c r="R29" i="24"/>
  <c r="R33" i="24" s="1"/>
  <c r="Q29" i="24"/>
  <c r="Q33" i="24" s="1"/>
  <c r="P29" i="24"/>
  <c r="O29" i="24"/>
  <c r="N29" i="24"/>
  <c r="N33" i="24" s="1"/>
  <c r="M29" i="24"/>
  <c r="M33" i="24" s="1"/>
  <c r="L29" i="24"/>
  <c r="L33" i="24" s="1"/>
  <c r="K29" i="24"/>
  <c r="K33" i="24" s="1"/>
  <c r="J29" i="24"/>
  <c r="J33" i="24" s="1"/>
  <c r="I29" i="24"/>
  <c r="I33" i="24" s="1"/>
  <c r="F29" i="24"/>
  <c r="U26" i="24"/>
  <c r="U25" i="24"/>
  <c r="U29" i="24" s="1"/>
  <c r="T71" i="24"/>
  <c r="S71" i="24"/>
  <c r="R71" i="24"/>
  <c r="Q71" i="24"/>
  <c r="P71" i="24"/>
  <c r="O71" i="24"/>
  <c r="N71" i="24"/>
  <c r="M71" i="24"/>
  <c r="K71" i="24"/>
  <c r="J71" i="24"/>
  <c r="I71" i="24"/>
  <c r="T70" i="24"/>
  <c r="S70" i="24"/>
  <c r="R70" i="24"/>
  <c r="Q70" i="24"/>
  <c r="P70" i="24"/>
  <c r="N70" i="24"/>
  <c r="M70" i="24"/>
  <c r="L70" i="24"/>
  <c r="K70" i="24"/>
  <c r="J70" i="24"/>
  <c r="I70" i="24"/>
  <c r="R69" i="24"/>
  <c r="Q69" i="24"/>
  <c r="P69" i="24"/>
  <c r="O69" i="24"/>
  <c r="N69" i="24"/>
  <c r="M69" i="24"/>
  <c r="K69" i="24"/>
  <c r="J69" i="24"/>
  <c r="I69" i="24"/>
  <c r="T67" i="24"/>
  <c r="Q67" i="24"/>
  <c r="P67" i="24"/>
  <c r="O67" i="24"/>
  <c r="N67" i="24"/>
  <c r="M67" i="24"/>
  <c r="L67" i="24"/>
  <c r="K67" i="24"/>
  <c r="J67" i="24"/>
  <c r="T66" i="24"/>
  <c r="S66" i="24"/>
  <c r="R66" i="24"/>
  <c r="Q66" i="24"/>
  <c r="P66" i="24"/>
  <c r="O66" i="24"/>
  <c r="N66" i="24"/>
  <c r="M66" i="24"/>
  <c r="L66" i="24"/>
  <c r="T65" i="24"/>
  <c r="S65" i="24"/>
  <c r="R65" i="24"/>
  <c r="Q65" i="24"/>
  <c r="P65" i="24"/>
  <c r="O65" i="24"/>
  <c r="N65" i="24"/>
  <c r="M65" i="24"/>
  <c r="L65" i="24"/>
  <c r="K65" i="24"/>
  <c r="J65" i="24"/>
  <c r="I65" i="24"/>
  <c r="T64" i="24"/>
  <c r="S64" i="24"/>
  <c r="R64" i="24"/>
  <c r="Q64" i="24"/>
  <c r="P64" i="24"/>
  <c r="O64" i="24"/>
  <c r="N64" i="24"/>
  <c r="M64" i="24"/>
  <c r="L64" i="24"/>
  <c r="K64" i="24"/>
  <c r="J64" i="24"/>
  <c r="Y10" i="24"/>
  <c r="T10" i="24"/>
  <c r="S10" i="24"/>
  <c r="R10" i="24"/>
  <c r="Q10" i="24"/>
  <c r="P10" i="24"/>
  <c r="O10" i="24"/>
  <c r="N10" i="24"/>
  <c r="M10" i="24"/>
  <c r="L10" i="24"/>
  <c r="K10" i="24"/>
  <c r="J10" i="24"/>
  <c r="I10" i="24"/>
  <c r="G10" i="24"/>
  <c r="X10" i="24" s="1"/>
  <c r="E10" i="24"/>
  <c r="D10" i="24"/>
  <c r="C10" i="24"/>
  <c r="B7" i="24"/>
  <c r="G11" i="22" l="1"/>
  <c r="J81" i="23" s="1"/>
  <c r="K66" i="24"/>
  <c r="K40" i="24"/>
  <c r="K44" i="24" s="1"/>
  <c r="N72" i="24"/>
  <c r="U18" i="24"/>
  <c r="U20" i="24"/>
  <c r="U70" i="24" s="1"/>
  <c r="U22" i="24"/>
  <c r="U17" i="24"/>
  <c r="U67" i="24" s="1"/>
  <c r="Q68" i="24"/>
  <c r="Q55" i="24"/>
  <c r="Q72" i="24" s="1"/>
  <c r="O68" i="24"/>
  <c r="I72" i="24"/>
  <c r="J68" i="24"/>
  <c r="R68" i="24"/>
  <c r="R55" i="24"/>
  <c r="F68" i="24"/>
  <c r="P68" i="24"/>
  <c r="O33" i="24"/>
  <c r="O72" i="24" s="1"/>
  <c r="J66" i="24"/>
  <c r="K68" i="24"/>
  <c r="S68" i="24"/>
  <c r="U14" i="24"/>
  <c r="AC25" i="24" s="1"/>
  <c r="U19" i="24"/>
  <c r="U69" i="24" s="1"/>
  <c r="L68" i="24"/>
  <c r="T68" i="24"/>
  <c r="I64" i="24"/>
  <c r="K81" i="23"/>
  <c r="D81" i="23"/>
  <c r="J72" i="24"/>
  <c r="U33" i="24"/>
  <c r="AC29" i="24"/>
  <c r="I68" i="24"/>
  <c r="R72" i="24"/>
  <c r="M72" i="24"/>
  <c r="U16" i="24"/>
  <c r="P33" i="24"/>
  <c r="P72" i="24" s="1"/>
  <c r="U51" i="24"/>
  <c r="I67" i="24"/>
  <c r="N68" i="24"/>
  <c r="M68" i="24"/>
  <c r="U15" i="24"/>
  <c r="U65" i="24" s="1"/>
  <c r="K55" i="24"/>
  <c r="K72" i="24" s="1"/>
  <c r="S55" i="24"/>
  <c r="S72" i="24" s="1"/>
  <c r="U21" i="24"/>
  <c r="U71" i="24" s="1"/>
  <c r="F66" i="24"/>
  <c r="U38" i="24"/>
  <c r="L55" i="24"/>
  <c r="L72" i="24" s="1"/>
  <c r="T55" i="24"/>
  <c r="T72" i="24" s="1"/>
  <c r="I66" i="24"/>
  <c r="U66" i="24" l="1"/>
  <c r="U64" i="24"/>
  <c r="U40" i="24"/>
  <c r="U44" i="24" s="1"/>
  <c r="U55" i="24"/>
  <c r="U68" i="24"/>
  <c r="U72" i="24" l="1"/>
  <c r="L75" i="23" l="1"/>
  <c r="J66" i="23"/>
  <c r="I66" i="23"/>
  <c r="H66" i="23"/>
  <c r="G66" i="23"/>
  <c r="E66" i="23"/>
  <c r="I65" i="23"/>
  <c r="H65" i="23"/>
  <c r="G65" i="23"/>
  <c r="F65" i="23"/>
  <c r="E65" i="23"/>
  <c r="I64" i="23"/>
  <c r="H64" i="23"/>
  <c r="G64" i="23"/>
  <c r="F64" i="23"/>
  <c r="E64" i="23"/>
  <c r="I63" i="23"/>
  <c r="H63" i="23"/>
  <c r="G63" i="23"/>
  <c r="F63" i="23"/>
  <c r="E63" i="23"/>
  <c r="I62" i="23"/>
  <c r="H62" i="23"/>
  <c r="G62" i="23"/>
  <c r="F62" i="23"/>
  <c r="E62" i="23"/>
  <c r="K58" i="23"/>
  <c r="D57" i="23"/>
  <c r="N51" i="23"/>
  <c r="L55" i="23"/>
  <c r="D55" i="23"/>
  <c r="F24" i="23"/>
  <c r="J23" i="23"/>
  <c r="J22" i="23"/>
  <c r="I11" i="23"/>
  <c r="I8" i="23"/>
  <c r="E8" i="23" s="1"/>
  <c r="E7" i="23"/>
  <c r="L7" i="23" s="1"/>
  <c r="H82" i="22"/>
  <c r="H84" i="22" s="1"/>
  <c r="H85" i="22" s="1"/>
  <c r="C57" i="22"/>
  <c r="D51" i="22"/>
  <c r="D49" i="22"/>
  <c r="C48" i="22"/>
  <c r="D48" i="22" s="1"/>
  <c r="D47" i="22"/>
  <c r="D46" i="22"/>
  <c r="D45" i="22"/>
  <c r="D44" i="22"/>
  <c r="D43" i="22"/>
  <c r="D42" i="22"/>
  <c r="C41" i="22"/>
  <c r="D40" i="22"/>
  <c r="D38" i="22"/>
  <c r="H23" i="22"/>
  <c r="H25" i="22" s="1"/>
  <c r="H26" i="22" s="1"/>
  <c r="C21" i="22"/>
  <c r="C20" i="22"/>
  <c r="C19" i="22"/>
  <c r="C18" i="22"/>
  <c r="C17" i="22"/>
  <c r="C16" i="22"/>
  <c r="C15" i="22"/>
  <c r="C13" i="22"/>
  <c r="C11" i="22"/>
  <c r="C54" i="13" s="1"/>
  <c r="D9" i="16"/>
  <c r="D7" i="23" l="1"/>
  <c r="O26" i="23"/>
  <c r="D56" i="23"/>
  <c r="D41" i="22"/>
  <c r="D18" i="23"/>
  <c r="O23" i="23"/>
  <c r="L19" i="23"/>
  <c r="J11" i="23"/>
  <c r="J25" i="23" s="1"/>
  <c r="J67" i="23" s="1"/>
  <c r="I12" i="23"/>
  <c r="I13" i="23" s="1"/>
  <c r="L18" i="23"/>
  <c r="J12" i="23"/>
  <c r="J26" i="23" s="1"/>
  <c r="J68" i="23" s="1"/>
  <c r="L56" i="23"/>
  <c r="D8" i="23"/>
  <c r="L8" i="23"/>
  <c r="L22" i="23"/>
  <c r="I25" i="23"/>
  <c r="I67" i="23" s="1"/>
  <c r="I37" i="23"/>
  <c r="J65" i="23"/>
  <c r="L65" i="23" s="1"/>
  <c r="L23" i="23"/>
  <c r="L24" i="23"/>
  <c r="F66" i="23"/>
  <c r="D66" i="23" s="1"/>
  <c r="D19" i="23"/>
  <c r="E11" i="23"/>
  <c r="E12" i="23"/>
  <c r="F11" i="23"/>
  <c r="F12" i="23"/>
  <c r="J53" i="23"/>
  <c r="J64" i="23" s="1"/>
  <c r="D13" i="23"/>
  <c r="J21" i="23" s="1"/>
  <c r="G11" i="23"/>
  <c r="G12" i="23"/>
  <c r="J20" i="23"/>
  <c r="J29" i="23" s="1"/>
  <c r="H11" i="23"/>
  <c r="H12" i="23"/>
  <c r="I38" i="23" l="1"/>
  <c r="I42" i="23" s="1"/>
  <c r="I26" i="23"/>
  <c r="I68" i="23" s="1"/>
  <c r="O19" i="23"/>
  <c r="P19" i="23" s="1"/>
  <c r="R19" i="23" s="1"/>
  <c r="N19" i="23"/>
  <c r="N27" i="23" s="1"/>
  <c r="D65" i="23"/>
  <c r="J13" i="23"/>
  <c r="J9" i="23" s="1"/>
  <c r="J38" i="23"/>
  <c r="J42" i="23" s="1"/>
  <c r="J37" i="23"/>
  <c r="J41" i="23" s="1"/>
  <c r="I29" i="23"/>
  <c r="L21" i="23"/>
  <c r="J63" i="23"/>
  <c r="D21" i="23"/>
  <c r="D30" i="23" s="1"/>
  <c r="J30" i="23"/>
  <c r="J31" i="23" s="1"/>
  <c r="F13" i="23"/>
  <c r="F9" i="23" s="1"/>
  <c r="F25" i="23"/>
  <c r="F29" i="23" s="1"/>
  <c r="F37" i="23"/>
  <c r="F41" i="23" s="1"/>
  <c r="I30" i="23"/>
  <c r="F38" i="23"/>
  <c r="F42" i="23" s="1"/>
  <c r="F26" i="23"/>
  <c r="F68" i="23" s="1"/>
  <c r="I50" i="23"/>
  <c r="I61" i="23" s="1"/>
  <c r="G26" i="23"/>
  <c r="G68" i="23" s="1"/>
  <c r="G38" i="23"/>
  <c r="G42" i="23" s="1"/>
  <c r="I72" i="23"/>
  <c r="G13" i="23"/>
  <c r="G9" i="23" s="1"/>
  <c r="G25" i="23"/>
  <c r="G29" i="23" s="1"/>
  <c r="G37" i="23"/>
  <c r="E38" i="23"/>
  <c r="E42" i="23" s="1"/>
  <c r="E26" i="23"/>
  <c r="E30" i="23" s="1"/>
  <c r="L12" i="23"/>
  <c r="I39" i="23"/>
  <c r="I77" i="23" s="1"/>
  <c r="I49" i="23"/>
  <c r="M65" i="23"/>
  <c r="L64" i="23"/>
  <c r="J50" i="23"/>
  <c r="J61" i="23" s="1"/>
  <c r="E37" i="23"/>
  <c r="E41" i="23" s="1"/>
  <c r="E25" i="23"/>
  <c r="E29" i="23" s="1"/>
  <c r="E13" i="23"/>
  <c r="L11" i="23"/>
  <c r="D64" i="23"/>
  <c r="L20" i="23"/>
  <c r="J27" i="23"/>
  <c r="D20" i="23"/>
  <c r="D29" i="23" s="1"/>
  <c r="O21" i="23"/>
  <c r="H26" i="23"/>
  <c r="H68" i="23" s="1"/>
  <c r="H38" i="23"/>
  <c r="L53" i="23"/>
  <c r="D53" i="23"/>
  <c r="I27" i="23"/>
  <c r="I9" i="23"/>
  <c r="H13" i="23"/>
  <c r="H9" i="23" s="1"/>
  <c r="H25" i="23"/>
  <c r="H29" i="23" s="1"/>
  <c r="H37" i="23"/>
  <c r="H41" i="23" s="1"/>
  <c r="L66" i="23"/>
  <c r="I41" i="23"/>
  <c r="D31" i="23" l="1"/>
  <c r="N65" i="23"/>
  <c r="J43" i="23"/>
  <c r="J72" i="23"/>
  <c r="J39" i="23"/>
  <c r="J77" i="23" s="1"/>
  <c r="I31" i="23"/>
  <c r="J49" i="23"/>
  <c r="U37" i="23" s="1"/>
  <c r="U38" i="23"/>
  <c r="G30" i="23"/>
  <c r="G31" i="23" s="1"/>
  <c r="E31" i="23"/>
  <c r="L29" i="23"/>
  <c r="F43" i="23"/>
  <c r="E9" i="23"/>
  <c r="L13" i="23"/>
  <c r="E50" i="23"/>
  <c r="D38" i="23"/>
  <c r="D42" i="23" s="1"/>
  <c r="L38" i="23"/>
  <c r="G50" i="23"/>
  <c r="G61" i="23" s="1"/>
  <c r="G72" i="23" s="1"/>
  <c r="H50" i="23"/>
  <c r="G39" i="23"/>
  <c r="G77" i="23" s="1"/>
  <c r="G49" i="23"/>
  <c r="R37" i="23" s="1"/>
  <c r="I58" i="23"/>
  <c r="I78" i="23" s="1"/>
  <c r="I79" i="23" s="1"/>
  <c r="I60" i="23"/>
  <c r="I69" i="23" s="1"/>
  <c r="I43" i="23"/>
  <c r="G27" i="23"/>
  <c r="G67" i="23"/>
  <c r="F39" i="23"/>
  <c r="F77" i="23" s="1"/>
  <c r="F49" i="23"/>
  <c r="Q37" i="23" s="1"/>
  <c r="D63" i="23"/>
  <c r="L63" i="23"/>
  <c r="E67" i="23"/>
  <c r="L25" i="23"/>
  <c r="E27" i="23"/>
  <c r="H67" i="23"/>
  <c r="H27" i="23"/>
  <c r="H42" i="23"/>
  <c r="T38" i="23"/>
  <c r="F67" i="23"/>
  <c r="F27" i="23"/>
  <c r="E43" i="23"/>
  <c r="F50" i="23"/>
  <c r="F61" i="23" s="1"/>
  <c r="F72" i="23" s="1"/>
  <c r="H49" i="23"/>
  <c r="S37" i="23" s="1"/>
  <c r="H39" i="23"/>
  <c r="H77" i="23" s="1"/>
  <c r="T37" i="23"/>
  <c r="D37" i="23"/>
  <c r="E39" i="23"/>
  <c r="E77" i="23" s="1"/>
  <c r="L37" i="23"/>
  <c r="E49" i="23"/>
  <c r="P37" i="23" s="1"/>
  <c r="H30" i="23"/>
  <c r="H31" i="23" s="1"/>
  <c r="E68" i="23"/>
  <c r="L26" i="23"/>
  <c r="G41" i="23"/>
  <c r="F30" i="23"/>
  <c r="F31" i="23" s="1"/>
  <c r="D27" i="23"/>
  <c r="U39" i="23" l="1"/>
  <c r="J60" i="23"/>
  <c r="T39" i="23"/>
  <c r="T40" i="23"/>
  <c r="Q38" i="23"/>
  <c r="Q39" i="23" s="1"/>
  <c r="R38" i="23"/>
  <c r="R39" i="23"/>
  <c r="L30" i="23"/>
  <c r="G43" i="23"/>
  <c r="L43" i="23" s="1"/>
  <c r="D50" i="23"/>
  <c r="L50" i="23"/>
  <c r="E61" i="23"/>
  <c r="L42" i="23"/>
  <c r="D39" i="23"/>
  <c r="D41" i="23"/>
  <c r="L41" i="23"/>
  <c r="I71" i="23"/>
  <c r="I74" i="23" s="1"/>
  <c r="P38" i="23"/>
  <c r="M50" i="23"/>
  <c r="H61" i="23"/>
  <c r="H72" i="23" s="1"/>
  <c r="S38" i="23"/>
  <c r="S39" i="23" s="1"/>
  <c r="D9" i="23"/>
  <c r="L9" i="23"/>
  <c r="H43" i="23"/>
  <c r="L68" i="23"/>
  <c r="D68" i="23"/>
  <c r="O37" i="23"/>
  <c r="L27" i="23"/>
  <c r="N28" i="23" s="1"/>
  <c r="F58" i="23"/>
  <c r="F60" i="23"/>
  <c r="E58" i="23"/>
  <c r="E78" i="23" s="1"/>
  <c r="E79" i="23" s="1"/>
  <c r="D12" i="27" s="1"/>
  <c r="L49" i="23"/>
  <c r="D49" i="23"/>
  <c r="E60" i="23"/>
  <c r="M49" i="23"/>
  <c r="N50" i="23" s="1"/>
  <c r="N52" i="23" s="1"/>
  <c r="H58" i="23"/>
  <c r="H60" i="23"/>
  <c r="L39" i="23"/>
  <c r="L67" i="23"/>
  <c r="D67" i="23"/>
  <c r="G60" i="23"/>
  <c r="G69" i="23" s="1"/>
  <c r="G58" i="23"/>
  <c r="L31" i="23"/>
  <c r="D12" i="22" l="1"/>
  <c r="P40" i="23"/>
  <c r="Q40" i="23"/>
  <c r="F78" i="23"/>
  <c r="F79" i="23" s="1"/>
  <c r="E12" i="27" s="1"/>
  <c r="R40" i="23"/>
  <c r="G78" i="23"/>
  <c r="G79" i="23" s="1"/>
  <c r="S40" i="23"/>
  <c r="H78" i="23"/>
  <c r="H79" i="23" s="1"/>
  <c r="J51" i="23"/>
  <c r="D51" i="23" s="1"/>
  <c r="D58" i="23" s="1"/>
  <c r="D78" i="23" s="1"/>
  <c r="D77" i="23"/>
  <c r="I82" i="23"/>
  <c r="N68" i="23"/>
  <c r="O38" i="23"/>
  <c r="O39" i="23" s="1"/>
  <c r="D61" i="23"/>
  <c r="D72" i="23" s="1"/>
  <c r="L61" i="23"/>
  <c r="E72" i="23"/>
  <c r="L72" i="23" s="1"/>
  <c r="P39" i="23"/>
  <c r="F69" i="23"/>
  <c r="F71" i="23"/>
  <c r="F74" i="23" s="1"/>
  <c r="D60" i="23"/>
  <c r="L60" i="23"/>
  <c r="E69" i="23"/>
  <c r="E71" i="23"/>
  <c r="H69" i="23"/>
  <c r="M69" i="23" s="1"/>
  <c r="H71" i="23"/>
  <c r="H74" i="23" s="1"/>
  <c r="D43" i="23"/>
  <c r="H44" i="23" s="1"/>
  <c r="G71" i="23"/>
  <c r="G74" i="23" s="1"/>
  <c r="J58" i="23" l="1"/>
  <c r="J62" i="23"/>
  <c r="D62" i="23" s="1"/>
  <c r="D69" i="23" s="1"/>
  <c r="F12" i="27"/>
  <c r="L51" i="23"/>
  <c r="L58" i="23" s="1"/>
  <c r="H82" i="23"/>
  <c r="H84" i="23" s="1"/>
  <c r="F82" i="23"/>
  <c r="I84" i="23"/>
  <c r="I86" i="23"/>
  <c r="F12" i="22"/>
  <c r="F86" i="23"/>
  <c r="E12" i="22"/>
  <c r="U40" i="23"/>
  <c r="O40" i="23" s="1"/>
  <c r="J78" i="23"/>
  <c r="D79" i="23"/>
  <c r="G82" i="23"/>
  <c r="J44" i="23"/>
  <c r="F44" i="23"/>
  <c r="E44" i="23"/>
  <c r="I44" i="23"/>
  <c r="E74" i="23"/>
  <c r="G44" i="23"/>
  <c r="J69" i="23"/>
  <c r="L69" i="23" s="1"/>
  <c r="J71" i="23"/>
  <c r="J74" i="23" s="1"/>
  <c r="E14" i="22" l="1"/>
  <c r="E14" i="27"/>
  <c r="E23" i="27" s="1"/>
  <c r="E25" i="27" s="1"/>
  <c r="E26" i="27" s="1"/>
  <c r="F23" i="27"/>
  <c r="F25" i="27" s="1"/>
  <c r="F26" i="27" s="1"/>
  <c r="F14" i="27"/>
  <c r="L62" i="23"/>
  <c r="F84" i="23"/>
  <c r="F14" i="22"/>
  <c r="F23" i="22" s="1"/>
  <c r="H86" i="23"/>
  <c r="G84" i="23"/>
  <c r="G86" i="23"/>
  <c r="E23" i="22"/>
  <c r="I23" i="22" s="1"/>
  <c r="K23" i="22" s="1"/>
  <c r="L74" i="23"/>
  <c r="E82" i="23"/>
  <c r="D14" i="27" s="1"/>
  <c r="L71" i="23"/>
  <c r="D44" i="23"/>
  <c r="M63" i="23"/>
  <c r="N63" i="23"/>
  <c r="D71" i="23"/>
  <c r="D74" i="23" s="1"/>
  <c r="D75" i="23" s="1"/>
  <c r="D23" i="27" l="1"/>
  <c r="D25" i="27" s="1"/>
  <c r="D26" i="27" s="1"/>
  <c r="E25" i="22"/>
  <c r="E26" i="22" s="1"/>
  <c r="E73" i="22"/>
  <c r="F25" i="22"/>
  <c r="F26" i="22" s="1"/>
  <c r="F73" i="22"/>
  <c r="F82" i="22" s="1"/>
  <c r="F84" i="22" s="1"/>
  <c r="F85" i="22" s="1"/>
  <c r="D14" i="22"/>
  <c r="D23" i="22" s="1"/>
  <c r="D73" i="22" s="1"/>
  <c r="D82" i="22" s="1"/>
  <c r="D84" i="22" s="1"/>
  <c r="D85" i="22" s="1"/>
  <c r="E86" i="23"/>
  <c r="E84" i="23"/>
  <c r="E82" i="22" l="1"/>
  <c r="E84" i="22" s="1"/>
  <c r="E85" i="22" s="1"/>
  <c r="D25" i="22"/>
  <c r="D26" i="22" l="1"/>
  <c r="C48" i="21" l="1"/>
  <c r="C51" i="21" s="1"/>
  <c r="C36" i="21" s="1"/>
  <c r="C21" i="21"/>
  <c r="C23" i="20" l="1"/>
  <c r="E23" i="20"/>
  <c r="G26" i="20" l="1"/>
  <c r="C26" i="20" s="1"/>
  <c r="G27" i="20"/>
  <c r="D16" i="16"/>
  <c r="C25" i="20"/>
  <c r="C39" i="22" l="1"/>
  <c r="C39" i="27"/>
  <c r="C50" i="22"/>
  <c r="D50" i="22" s="1"/>
  <c r="D39" i="22"/>
  <c r="E10" i="16"/>
  <c r="F10" i="16" s="1"/>
  <c r="H26" i="20"/>
  <c r="E14" i="16"/>
  <c r="F14" i="16" s="1"/>
  <c r="E9" i="16"/>
  <c r="E15" i="16"/>
  <c r="E12" i="16"/>
  <c r="F12" i="16" s="1"/>
  <c r="E11" i="16"/>
  <c r="F11" i="16" s="1"/>
  <c r="E13" i="16"/>
  <c r="F13" i="16" s="1"/>
  <c r="C52" i="22" l="1"/>
  <c r="C58" i="22" s="1"/>
  <c r="C60" i="22" s="1"/>
  <c r="C61" i="22" s="1"/>
  <c r="D52" i="22"/>
  <c r="C50" i="27"/>
  <c r="D50" i="27" s="1"/>
  <c r="D39" i="27"/>
  <c r="E16" i="16"/>
  <c r="H33" i="13"/>
  <c r="H32" i="13"/>
  <c r="F32" i="13"/>
  <c r="C32" i="13"/>
  <c r="C33" i="13" s="1"/>
  <c r="F52" i="22" l="1"/>
  <c r="C109" i="22"/>
  <c r="C106" i="22" s="1"/>
  <c r="D106" i="22" s="1"/>
  <c r="D108" i="22" s="1"/>
  <c r="D52" i="27"/>
  <c r="C54" i="22"/>
  <c r="C55" i="22" s="1"/>
  <c r="C52" i="27"/>
  <c r="C108" i="22"/>
  <c r="F22" i="20"/>
  <c r="F25" i="20"/>
  <c r="H25" i="20" s="1"/>
  <c r="D24" i="20"/>
  <c r="E12" i="20"/>
  <c r="D8" i="7"/>
  <c r="C58" i="27" l="1"/>
  <c r="C60" i="27" s="1"/>
  <c r="C61" i="27" s="1"/>
  <c r="C54" i="27"/>
  <c r="C55" i="27" s="1"/>
  <c r="F52" i="27"/>
  <c r="C109" i="27"/>
  <c r="C106" i="27" s="1"/>
  <c r="F24" i="20"/>
  <c r="H24" i="20" s="1"/>
  <c r="C24" i="20"/>
  <c r="C110" i="22"/>
  <c r="C111" i="22" s="1"/>
  <c r="C113" i="22"/>
  <c r="C114" i="22" s="1"/>
  <c r="D106" i="27" l="1"/>
  <c r="D108" i="27" s="1"/>
  <c r="C108" i="27"/>
  <c r="D33" i="13"/>
  <c r="D32" i="13"/>
  <c r="C39" i="13"/>
  <c r="C27" i="20"/>
  <c r="C21" i="20"/>
  <c r="C20" i="20"/>
  <c r="C19" i="20"/>
  <c r="C18" i="20"/>
  <c r="C17" i="20"/>
  <c r="C16" i="20"/>
  <c r="C15" i="20"/>
  <c r="C14" i="20"/>
  <c r="C13" i="20"/>
  <c r="C12" i="20"/>
  <c r="F7" i="16"/>
  <c r="B14" i="4"/>
  <c r="B13" i="4"/>
  <c r="B12" i="4"/>
  <c r="K28" i="20"/>
  <c r="J28" i="20"/>
  <c r="I28" i="20"/>
  <c r="H28" i="20"/>
  <c r="G28" i="20"/>
  <c r="D28" i="20"/>
  <c r="E28" i="20"/>
  <c r="F28" i="20"/>
  <c r="F15" i="16"/>
  <c r="F9" i="16"/>
  <c r="D21" i="13"/>
  <c r="D49" i="13"/>
  <c r="C49" i="13"/>
  <c r="C15" i="13"/>
  <c r="H49" i="13"/>
  <c r="G49" i="13"/>
  <c r="F49" i="13"/>
  <c r="E47" i="13"/>
  <c r="E46" i="13"/>
  <c r="J39" i="13"/>
  <c r="I39" i="13"/>
  <c r="H39" i="13"/>
  <c r="G39" i="13"/>
  <c r="F39" i="13"/>
  <c r="E39" i="13"/>
  <c r="J25" i="13"/>
  <c r="I25" i="13"/>
  <c r="H25" i="13"/>
  <c r="G25" i="13"/>
  <c r="F25" i="13"/>
  <c r="C25" i="13"/>
  <c r="E24" i="13"/>
  <c r="E25" i="13" s="1"/>
  <c r="D22" i="13"/>
  <c r="C27" i="21"/>
  <c r="C23" i="21"/>
  <c r="D27" i="21"/>
  <c r="D23" i="21"/>
  <c r="C28" i="27" s="1"/>
  <c r="C87" i="27" l="1"/>
  <c r="C88" i="27" s="1"/>
  <c r="D39" i="13"/>
  <c r="C113" i="27"/>
  <c r="C114" i="27" s="1"/>
  <c r="C110" i="27"/>
  <c r="C111" i="27" s="1"/>
  <c r="D25" i="13"/>
  <c r="C53" i="13"/>
  <c r="C28" i="22"/>
  <c r="K39" i="13"/>
  <c r="C28" i="20"/>
  <c r="E29" i="20" s="1"/>
  <c r="C28" i="21"/>
  <c r="C38" i="21" s="1"/>
  <c r="C45" i="21" s="1"/>
  <c r="D53" i="13"/>
  <c r="E49" i="13"/>
  <c r="F53" i="13" s="1"/>
  <c r="D28" i="21"/>
  <c r="D38" i="21" s="1"/>
  <c r="D45" i="21" s="1"/>
  <c r="D29" i="7"/>
  <c r="D31" i="7" s="1"/>
  <c r="C32" i="7" s="1"/>
  <c r="C29" i="7"/>
  <c r="C42" i="21" l="1"/>
  <c r="C46" i="21" s="1"/>
  <c r="D42" i="21"/>
  <c r="D46" i="21" s="1"/>
  <c r="E53" i="13"/>
  <c r="B10" i="4"/>
  <c r="C55" i="13"/>
  <c r="B11" i="4" l="1"/>
  <c r="B15" i="4" s="1"/>
  <c r="B5" i="4" l="1"/>
  <c r="B6" i="4" l="1"/>
  <c r="B7" i="4" l="1"/>
  <c r="J79" i="23" l="1"/>
  <c r="K79" i="23" l="1"/>
  <c r="L79" i="23" s="1"/>
  <c r="G12" i="27"/>
  <c r="J82" i="23"/>
  <c r="G12" i="22"/>
  <c r="K82" i="23" l="1"/>
  <c r="G14" i="27"/>
  <c r="C14" i="27" s="1"/>
  <c r="H29" i="27" s="1"/>
  <c r="C12" i="27"/>
  <c r="C23" i="27" s="1"/>
  <c r="J84" i="23"/>
  <c r="D84" i="23" s="1"/>
  <c r="D82" i="23"/>
  <c r="D86" i="23" s="1"/>
  <c r="J86" i="23"/>
  <c r="G14" i="22"/>
  <c r="C14" i="22" s="1"/>
  <c r="C12" i="22"/>
  <c r="C29" i="27" l="1"/>
  <c r="C31" i="27" s="1"/>
  <c r="C32" i="27" s="1"/>
  <c r="C25" i="27"/>
  <c r="C26" i="27" s="1"/>
  <c r="G23" i="27"/>
  <c r="H29" i="22"/>
  <c r="C23" i="22"/>
  <c r="F54" i="13" s="1"/>
  <c r="F55" i="13" s="1"/>
  <c r="G23" i="22"/>
  <c r="G26" i="27" l="1"/>
  <c r="G25" i="27"/>
  <c r="G25" i="22"/>
  <c r="G73" i="22"/>
  <c r="G26" i="22"/>
  <c r="C25" i="22"/>
  <c r="C26" i="22" s="1"/>
  <c r="E54" i="13" s="1"/>
  <c r="E55" i="13" s="1"/>
  <c r="C29" i="22"/>
  <c r="C31" i="22" s="1"/>
  <c r="G82" i="22" l="1"/>
  <c r="G84" i="22" s="1"/>
  <c r="C73" i="22"/>
  <c r="C82" i="22" s="1"/>
  <c r="C32" i="22"/>
  <c r="D54" i="13"/>
  <c r="D55" i="13" s="1"/>
  <c r="C84" i="22" l="1"/>
  <c r="C85" i="22" s="1"/>
  <c r="C87" i="22"/>
  <c r="C88"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Kayda Wescott</author>
  </authors>
  <commentList>
    <comment ref="C43" authorId="0" shapeId="0" xr:uid="{2BC910AA-BD83-4E56-B82E-8E7447142B38}">
      <text>
        <r>
          <rPr>
            <sz val="9"/>
            <color indexed="81"/>
            <rFont val="Tahoma"/>
            <family val="2"/>
          </rPr>
          <t xml:space="preserve">
surgery</t>
        </r>
      </text>
    </comment>
    <comment ref="C99" authorId="0" shapeId="0" xr:uid="{93F513C3-EA2E-4499-ADB2-187F838767FD}">
      <text>
        <r>
          <rPr>
            <b/>
            <sz val="9"/>
            <color indexed="81"/>
            <rFont val="Tahoma"/>
            <charset val="1"/>
          </rPr>
          <t>Surgery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Kayda Wescott</author>
  </authors>
  <commentList>
    <comment ref="H45" authorId="0" shapeId="0" xr:uid="{6BD1A31E-EF39-4673-8FD0-80ED01F73B6D}">
      <text>
        <r>
          <rPr>
            <b/>
            <sz val="9"/>
            <color indexed="81"/>
            <rFont val="Tahoma"/>
            <family val="2"/>
          </rPr>
          <t xml:space="preserve">Cap bud requests plus cushion for extra non anticipated items (@$70K)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Kayda Wescott</author>
  </authors>
  <commentList>
    <comment ref="C43" authorId="0" shapeId="0" xr:uid="{CB91C32B-792C-41DF-8D3B-299E69A4B62C}">
      <text>
        <r>
          <rPr>
            <sz val="9"/>
            <color indexed="81"/>
            <rFont val="Tahoma"/>
            <family val="2"/>
          </rPr>
          <t xml:space="preserve">
surgery</t>
        </r>
      </text>
    </comment>
    <comment ref="C99" authorId="0" shapeId="0" xr:uid="{FCB03F8C-00B4-4860-B94C-0E8B94751FEC}">
      <text>
        <r>
          <rPr>
            <b/>
            <sz val="9"/>
            <color indexed="81"/>
            <rFont val="Tahoma"/>
            <charset val="1"/>
          </rPr>
          <t>Surgery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Kayda Wescott</author>
  </authors>
  <commentList>
    <comment ref="D11" authorId="0" shapeId="0" xr:uid="{342C8CAC-53EF-4972-88F3-47D206BBAA55}">
      <text>
        <r>
          <rPr>
            <b/>
            <sz val="9"/>
            <color indexed="81"/>
            <rFont val="Tahoma"/>
            <family val="2"/>
          </rPr>
          <t>excludes COVID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Kayda Wescott</author>
  </authors>
  <commentList>
    <comment ref="C21" authorId="0" shapeId="0" xr:uid="{749CFD06-1E29-4172-9894-8C55719B7499}">
      <text>
        <r>
          <rPr>
            <b/>
            <sz val="14"/>
            <color indexed="81"/>
            <rFont val="Tahoma"/>
            <family val="2"/>
          </rPr>
          <t>est. NPR % of 50%, requested remits from PFS</t>
        </r>
      </text>
    </comment>
    <comment ref="C25" authorId="0" shapeId="0" xr:uid="{5DBCD1A2-301F-43C9-89B4-2388D41A5025}">
      <text>
        <r>
          <rPr>
            <sz val="14"/>
            <color indexed="81"/>
            <rFont val="Tahoma"/>
            <family val="2"/>
          </rPr>
          <t xml:space="preserve">
vaccines administratration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Kayda Wescott</author>
  </authors>
  <commentList>
    <comment ref="E27" authorId="0" shapeId="0" xr:uid="{1CC95EDE-877B-46B2-A256-5D8B376683A5}">
      <text>
        <r>
          <rPr>
            <b/>
            <sz val="9"/>
            <color indexed="81"/>
            <rFont val="Tahoma"/>
            <family val="2"/>
          </rPr>
          <t>Kayda Wescott:</t>
        </r>
        <r>
          <rPr>
            <sz val="9"/>
            <color indexed="81"/>
            <rFont val="Tahoma"/>
            <family val="2"/>
          </rPr>
          <t xml:space="preserve">
254004 receivable 9/30/20
</t>
        </r>
      </text>
    </comment>
    <comment ref="G27" authorId="0" shapeId="0" xr:uid="{F39D582E-8A2A-4444-A171-3743DE19DB4C}">
      <text>
        <r>
          <rPr>
            <b/>
            <sz val="9"/>
            <color indexed="81"/>
            <rFont val="Tahoma"/>
            <family val="2"/>
          </rPr>
          <t>Kayda Wescott:</t>
        </r>
        <r>
          <rPr>
            <sz val="9"/>
            <color indexed="81"/>
            <rFont val="Tahoma"/>
            <family val="2"/>
          </rPr>
          <t xml:space="preserve">
incl $85K add'l receipts for june 21 not yet recd
</t>
        </r>
      </text>
    </comment>
  </commentList>
</comments>
</file>

<file path=xl/sharedStrings.xml><?xml version="1.0" encoding="utf-8"?>
<sst xmlns="http://schemas.openxmlformats.org/spreadsheetml/2006/main" count="981" uniqueCount="537">
  <si>
    <t>FY2022 Budget Reporting Requirements</t>
  </si>
  <si>
    <t>Appendices 1-7</t>
  </si>
  <si>
    <t>Do not Modify</t>
  </si>
  <si>
    <t>Appendix 1: Reconciliation Tables</t>
  </si>
  <si>
    <t>Appendix 2: Change in Charge</t>
  </si>
  <si>
    <t>Modify</t>
  </si>
  <si>
    <t>Appendix 3: Utilization</t>
  </si>
  <si>
    <t>Appendix 4: Inflation</t>
  </si>
  <si>
    <t>Appendix 5: Vaccine Clinics and Testing</t>
  </si>
  <si>
    <t>Appendix 6: Value-Based Care Participation</t>
  </si>
  <si>
    <t>Appendix 7: COVID-19 Advances, Relief Funds, and Other Grants</t>
  </si>
  <si>
    <t>Request Summary (automatically populated)</t>
  </si>
  <si>
    <t>Appendix 1</t>
  </si>
  <si>
    <t>Do not Modify, except for cells labeled "Other"</t>
  </si>
  <si>
    <t>Reconciliation Tables</t>
  </si>
  <si>
    <t>Budget-to-Budget</t>
  </si>
  <si>
    <t>Table 1: NPR Variance - FY 2021 Approved Budget to FY 2022 Proposed Budget</t>
  </si>
  <si>
    <t>NPR</t>
  </si>
  <si>
    <t>Total</t>
  </si>
  <si>
    <t>Total Medicare</t>
  </si>
  <si>
    <t>Total Medicaid</t>
  </si>
  <si>
    <t>Total Commercial</t>
  </si>
  <si>
    <t>FY 2021 Approved Budget</t>
  </si>
  <si>
    <t>NPR/FPP Rate Impact</t>
  </si>
  <si>
    <t>Utilization (not factored into change in charge request)</t>
  </si>
  <si>
    <t>Provider Acquisitions/Transfers</t>
  </si>
  <si>
    <t>Changes in Accounting</t>
  </si>
  <si>
    <t>Reimbursement/Payer Mix</t>
  </si>
  <si>
    <t>Other (specify)</t>
  </si>
  <si>
    <t>FY 2022 Proposed Budget</t>
  </si>
  <si>
    <t>$ Change from FY 2021 Approved Budget</t>
  </si>
  <si>
    <t>% Change from FY 2021 Approved Budget</t>
  </si>
  <si>
    <t>Impact of COVID-19 vaccination clinics and testing</t>
  </si>
  <si>
    <t>FY 2022 Proposed Budget without COVID-19 vaccination clinics and testing</t>
  </si>
  <si>
    <t>$ Change from FY 2021 Approved Budget to Adjusted FY 2022</t>
  </si>
  <si>
    <t>% Change from FY 2021 Approved Budget to Adjusted FY 2022</t>
  </si>
  <si>
    <t>Table 2: FY 2021 Approved Expenses to FY 2022 Proposed Budget</t>
  </si>
  <si>
    <t>Expenses</t>
  </si>
  <si>
    <t>Amount</t>
  </si>
  <si>
    <t>% over/under</t>
  </si>
  <si>
    <t>FY 21 Approved Budget</t>
  </si>
  <si>
    <t>New Positions</t>
  </si>
  <si>
    <t>Inflation Increases</t>
  </si>
  <si>
    <t>Salaries</t>
  </si>
  <si>
    <t>Fringe</t>
  </si>
  <si>
    <t>Travelers (nurses)</t>
  </si>
  <si>
    <t>Locum tenans (MDs)</t>
  </si>
  <si>
    <t>Drugs</t>
  </si>
  <si>
    <t>Health Care Provider Tax</t>
  </si>
  <si>
    <t>Cost Savings</t>
  </si>
  <si>
    <t>Other (specify, add additional rows as necessary)</t>
  </si>
  <si>
    <t>FY 22 Proposed Budget</t>
  </si>
  <si>
    <t>Projection-to-Budget</t>
  </si>
  <si>
    <t>Table 3: NPR Variance - FY 2021 Projection to FY 2022 Proposed Budget</t>
  </si>
  <si>
    <t>Projection derived as of:</t>
  </si>
  <si>
    <t>(ex. May 2021 year-to-date)</t>
  </si>
  <si>
    <t>FY 2021 Projection</t>
  </si>
  <si>
    <t>Rate Effect</t>
  </si>
  <si>
    <t>Disproportionate Share Payments (DSH)</t>
  </si>
  <si>
    <t>Utilization (not factoring in change in charge request)</t>
  </si>
  <si>
    <t>Fixed Prospective Payments</t>
  </si>
  <si>
    <t>Bad Debt/Free Care</t>
  </si>
  <si>
    <t>$ Change from FY 2021 Projection</t>
  </si>
  <si>
    <t>% Change from FY 2021 Projection</t>
  </si>
  <si>
    <t>$ Change from FY 2021 Projection to Adjusted FY 2022</t>
  </si>
  <si>
    <t>% Change from FY 2021 Projection to Adjusted FY 2022</t>
  </si>
  <si>
    <t>Table 4: FY 2021 Projected Expenses to FY 2022 Proposed Budget</t>
  </si>
  <si>
    <t>Appendix 2</t>
  </si>
  <si>
    <t>Charge and NPR Detail</t>
  </si>
  <si>
    <t>The following tables demonstrate the hospital's charges by payer from your requested charge master increase.</t>
  </si>
  <si>
    <r>
      <rPr>
        <b/>
        <sz val="11"/>
        <color theme="1"/>
        <rFont val="Calibri"/>
        <family val="2"/>
      </rPr>
      <t>Table 1:</t>
    </r>
    <r>
      <rPr>
        <sz val="11"/>
        <color theme="1"/>
        <rFont val="Calibri"/>
        <family val="2"/>
      </rPr>
      <t xml:space="preserve">  Please provide the requested charge master increase by area of service without of utilization and acuity. </t>
    </r>
  </si>
  <si>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</si>
  <si>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</si>
  <si>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</si>
  <si>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</si>
  <si>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</si>
  <si>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</si>
  <si>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</si>
  <si>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</si>
  <si>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t>Budget-to-Budget Variance (%)</t>
  </si>
  <si>
    <t>In State</t>
  </si>
  <si>
    <t>Other</t>
  </si>
  <si>
    <r>
      <rPr>
        <b/>
        <sz val="11"/>
        <color theme="1"/>
        <rFont val="Calibri"/>
        <family val="2"/>
      </rPr>
      <t>Table 3:</t>
    </r>
    <r>
      <rPr>
        <sz val="11"/>
        <color theme="1"/>
        <rFont val="Calibri"/>
        <family val="2"/>
      </rPr>
      <t xml:space="preserve">  Please provide FY21 budgeted NPR/FPP and FY22 budgeted NPR/FPP by category of service taking into account the gross revenue assumptions in Table 2. </t>
    </r>
  </si>
  <si>
    <t>Areas of Service</t>
  </si>
  <si>
    <t>FY21 Budget NPR</t>
  </si>
  <si>
    <t>Budget-to-Budget Variance ($)</t>
  </si>
  <si>
    <t>FY22 Budget NPR</t>
  </si>
  <si>
    <t>FY21 Budget FPP</t>
  </si>
  <si>
    <t>FY22 Total Budget FPP</t>
  </si>
  <si>
    <t>Reserves</t>
  </si>
  <si>
    <t>Other Reform Payments</t>
  </si>
  <si>
    <t>FY21 Budget NPR/FPP</t>
  </si>
  <si>
    <t>FY22 Budget NPR/FPP</t>
  </si>
  <si>
    <t>Total Overall NPR/FPP</t>
  </si>
  <si>
    <t>From 1. Reconciliation tab</t>
  </si>
  <si>
    <t>Variance (should be 0)</t>
  </si>
  <si>
    <r>
      <rPr>
        <b/>
        <sz val="11"/>
        <color theme="1"/>
        <rFont val="Calibri"/>
        <family val="2"/>
      </rPr>
      <t>Table 4:</t>
    </r>
    <r>
      <rPr>
        <sz val="11"/>
        <color theme="1"/>
        <rFont val="Calibri"/>
        <family val="2"/>
      </rPr>
      <t xml:space="preserve"> Please indicate the NPR/FPP FY2022 dollar value of 1% overall change in charge.</t>
    </r>
  </si>
  <si>
    <t>NPR/FPP value of 1% Overall Change in Charge</t>
  </si>
  <si>
    <t>Appendix 3</t>
  </si>
  <si>
    <t>Utilization</t>
  </si>
  <si>
    <t>Category of Service</t>
  </si>
  <si>
    <t>Total increase in Gross Revenues (%)</t>
  </si>
  <si>
    <t>Total increase in Gross Revenues ($)</t>
  </si>
  <si>
    <t>$ Change from FY 2021 Approved budget</t>
  </si>
  <si>
    <t>% Change from FY 2021 Approved budget</t>
  </si>
  <si>
    <t>Does not need to tie to P&amp;L</t>
  </si>
  <si>
    <t>Appendix 4</t>
  </si>
  <si>
    <t>Inflation</t>
  </si>
  <si>
    <t>Expense Category</t>
  </si>
  <si>
    <t>Estimated Inflation</t>
  </si>
  <si>
    <t>Comment</t>
  </si>
  <si>
    <t>% Increase</t>
  </si>
  <si>
    <t>$ Increase</t>
  </si>
  <si>
    <t>Category % of Operating Expense Budget</t>
  </si>
  <si>
    <t>Example: Wages/Compensation- Medical Staff</t>
  </si>
  <si>
    <t>This is inflation price effect only, does not account for new hires (volume).</t>
  </si>
  <si>
    <t>Wages/Compensation - Medical Staff</t>
  </si>
  <si>
    <t>Wages/Compensation - Non-Medical Staff</t>
  </si>
  <si>
    <t>Medical Supplies</t>
  </si>
  <si>
    <t>Non-Medical Supplies</t>
  </si>
  <si>
    <t>Other (Please Specify)</t>
  </si>
  <si>
    <t>%</t>
  </si>
  <si>
    <t>*should be 100%</t>
  </si>
  <si>
    <t>Not intended for systemwide look or comparative analysis</t>
  </si>
  <si>
    <t>Appendix 5</t>
  </si>
  <si>
    <t>Vaccine Clinics and Testing</t>
  </si>
  <si>
    <t>Fiscal Year 2022 Budget Analysis</t>
  </si>
  <si>
    <t>INCOME STATEMENT</t>
  </si>
  <si>
    <t>2021 Projection Vaccine/Testing Income Statement Supplement</t>
  </si>
  <si>
    <t>2022 Budget Vaccine/Testing Income Statement Supplement</t>
  </si>
  <si>
    <t>Revenues</t>
  </si>
  <si>
    <t>Gross Patient Care Revenue</t>
  </si>
  <si>
    <t>Disproportionate Share Payments</t>
  </si>
  <si>
    <t>Graduate Medical Education (UVMMC only)</t>
  </si>
  <si>
    <t>Bad Debt</t>
  </si>
  <si>
    <t>Free Care</t>
  </si>
  <si>
    <t>Deductions from Revenue</t>
  </si>
  <si>
    <t>Net Patient Care Revenue</t>
  </si>
  <si>
    <t>Fixed Prospective Payments, Reserves &amp; Other</t>
  </si>
  <si>
    <t>Total NPR &amp; FPP</t>
  </si>
  <si>
    <t>COVID-19 Stimulus and Other Grant Funding</t>
  </si>
  <si>
    <t>Other Operating Revenue</t>
  </si>
  <si>
    <t>Total Operating Revenue</t>
  </si>
  <si>
    <t>Salaries, Fringe Benefits, Physician Fees, Contracts</t>
  </si>
  <si>
    <t>Medical/Surgical Drugs and Supplies</t>
  </si>
  <si>
    <t>Depreciation/Amortization</t>
  </si>
  <si>
    <t>Interest - Short and Long Term</t>
  </si>
  <si>
    <t>Other Operating Expenses (includes ACO Participation Fees)</t>
  </si>
  <si>
    <t>Operating Expense</t>
  </si>
  <si>
    <t>Net Operating Income</t>
  </si>
  <si>
    <t>Non Operating Revenue</t>
  </si>
  <si>
    <t>Excess (Deficit) of Rev over Exp</t>
  </si>
  <si>
    <t>Income Statement Metrics</t>
  </si>
  <si>
    <t>Operating Margin %</t>
  </si>
  <si>
    <t>Total Margin %</t>
  </si>
  <si>
    <t>edit from P&amp;L</t>
  </si>
  <si>
    <t>Appendix 6</t>
  </si>
  <si>
    <t>Value-Based Care Participation</t>
  </si>
  <si>
    <t>Complete the following table if the hospital is participating in one or more of value-based care programs. If the hospital is not participating in value-based care programs, please indicate in the narrative.</t>
  </si>
  <si>
    <t>Value-Based Care Program</t>
  </si>
  <si>
    <t xml:space="preserve">Participating in Program in Calendar Year (CY) 2022? </t>
  </si>
  <si>
    <t xml:space="preserve">Budgeted Number of Attributed Lives (monthly average </t>
  </si>
  <si>
    <t xml:space="preserve">Budgeted Amount of FPP (monthly average </t>
  </si>
  <si>
    <t xml:space="preserve">Budgeted Maximum Upside/Downside Risk </t>
  </si>
  <si>
    <t>(Yes/No)</t>
  </si>
  <si>
    <t xml:space="preserve"> for CY 2022)</t>
  </si>
  <si>
    <t xml:space="preserve"> for CY 2022</t>
  </si>
  <si>
    <t>Medicaid</t>
  </si>
  <si>
    <t>Medicare</t>
  </si>
  <si>
    <t>Self-Insured</t>
  </si>
  <si>
    <t>TOTAL</t>
  </si>
  <si>
    <t>Appendix 7</t>
  </si>
  <si>
    <t>Do not Modify, except cells labeled "Other"</t>
  </si>
  <si>
    <t>COVID-19 Advances, Relief Funds, and Other Grants</t>
  </si>
  <si>
    <t>Description</t>
  </si>
  <si>
    <t>Amounts Received</t>
  </si>
  <si>
    <t>Recognized in Revenues</t>
  </si>
  <si>
    <t>Recorded as a liability</t>
  </si>
  <si>
    <t>As of Sept. 30, 2020</t>
  </si>
  <si>
    <t>As of Sept. 30, 2021</t>
  </si>
  <si>
    <t>As of Sept. 30, 2022</t>
  </si>
  <si>
    <t>CARES Act Funding</t>
  </si>
  <si>
    <t>Medicare Advance - Repayment</t>
  </si>
  <si>
    <t>VT Blue Cross Advance</t>
  </si>
  <si>
    <t>VT Healthcare Stabilization Grant</t>
  </si>
  <si>
    <t>VT Medicaid Retainer Funding</t>
  </si>
  <si>
    <t>VT Hazard Pay Grant</t>
  </si>
  <si>
    <t>VT Unemployment Credit - CARES Act</t>
  </si>
  <si>
    <t>CARES Workforce Retention Credit</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</si>
  <si>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</si>
  <si>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</si>
  <si>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</si>
  <si>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</si>
  <si>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</si>
  <si>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</si>
  <si>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</si>
  <si>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</si>
  <si>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</si>
  <si>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</si>
  <si>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</si>
  <si>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</si>
  <si>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</si>
  <si>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</si>
  <si>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</si>
  <si>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</si>
  <si>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</si>
  <si>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</si>
  <si>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</si>
  <si>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</si>
  <si>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</si>
  <si>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</si>
  <si>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</si>
  <si>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</si>
  <si>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</si>
  <si>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</si>
  <si>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</si>
  <si>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</si>
  <si>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 xml:space="preserve">Identify key categories of operating expense inflation and provide the estimated inflation factor. This is not an assessment of overall growth of the category (i.e.-does not need to tie to the P&amp;L). It should focus on price effects only (not utilization growth or new hires).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</si>
  <si>
    <t>Grand Total</t>
  </si>
  <si>
    <t>PPP Funds</t>
  </si>
  <si>
    <t>Total Self-Pay/Other</t>
  </si>
  <si>
    <t>NPR ($) Analysis by Payer</t>
  </si>
  <si>
    <t>FPP ($) Analysis by Payer</t>
  </si>
  <si>
    <t>FY21 Budget Gross Revenue</t>
  </si>
  <si>
    <t>FY 22 Budget Gross Revenue</t>
  </si>
  <si>
    <t xml:space="preserve">Gross Revenue by Commercial Payer 
</t>
  </si>
  <si>
    <t xml:space="preserve">Gross Revenue by Self-Pay/Other      </t>
  </si>
  <si>
    <t xml:space="preserve">Gross Revenue by Medicaid
</t>
  </si>
  <si>
    <t xml:space="preserve">Gross Revenue by Medicare
</t>
  </si>
  <si>
    <t>Gross Revenue ($) Analysis by Payer</t>
  </si>
  <si>
    <t xml:space="preserve"> NPR by Commercial Payer</t>
  </si>
  <si>
    <t xml:space="preserve"> NPR by Self-Pay/Other</t>
  </si>
  <si>
    <t>NPR by Medicaid</t>
  </si>
  <si>
    <t>NPR by Medicare</t>
  </si>
  <si>
    <t>FPP by Medicaid</t>
  </si>
  <si>
    <t>FPP by Medicare</t>
  </si>
  <si>
    <t>Total FPP Across All Categories</t>
  </si>
  <si>
    <t>Total NPR Across All Categories</t>
  </si>
  <si>
    <t>Total Gross Revenues Across All Categories</t>
  </si>
  <si>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</si>
  <si>
    <t>DSH</t>
  </si>
  <si>
    <t>from Appendix 4. Inflation (price effect only)</t>
  </si>
  <si>
    <t xml:space="preserve"> FPP by Commercial Payer (in state only)*</t>
  </si>
  <si>
    <t>*if possible</t>
  </si>
  <si>
    <t>tie to income statement</t>
  </si>
  <si>
    <t>Weighted Average 
(Column C * Column E)</t>
  </si>
  <si>
    <r>
      <t xml:space="preserve">Please denote the advances, relief funds, and other grants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2020, September 30, 2021 and September 30, 2022.</t>
    </r>
  </si>
  <si>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</si>
  <si>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Other (Charity Care)</t>
  </si>
  <si>
    <t>11% rate increase less estimated C/As</t>
  </si>
  <si>
    <t>Est.  Increase in B/D</t>
  </si>
  <si>
    <t>Difference between est. NPR, rate effect, and Bad debts to FY21 proj. NPR</t>
  </si>
  <si>
    <t xml:space="preserve"> 1% change in Gross Charges results in NPR changing by an estimated increase of approximately $513,000. Increase of $1,073,579 in GPR less contractual and bad debts of 560.903 = $512,676 increase in NPR.  </t>
  </si>
  <si>
    <t>OR</t>
  </si>
  <si>
    <t>All Other</t>
  </si>
  <si>
    <t xml:space="preserve">COLA </t>
  </si>
  <si>
    <t>Dec</t>
  </si>
  <si>
    <t>Operating Exp Inc</t>
  </si>
  <si>
    <t>Wages/Comp Med Staff</t>
  </si>
  <si>
    <t>IP Lab</t>
  </si>
  <si>
    <t>IP Cardiopulmonary</t>
  </si>
  <si>
    <t>IP Other</t>
  </si>
  <si>
    <t>OP Diagnostic Imaging</t>
  </si>
  <si>
    <t>OP Lab</t>
  </si>
  <si>
    <t>OP Emergency Room</t>
  </si>
  <si>
    <t>OP Pharmacy</t>
  </si>
  <si>
    <t>OP Rehab Therapies</t>
  </si>
  <si>
    <t>OP Other</t>
  </si>
  <si>
    <t>Yes</t>
  </si>
  <si>
    <t>Yes, BC only</t>
  </si>
  <si>
    <t>undeterminable</t>
  </si>
  <si>
    <t>N/A*</t>
  </si>
  <si>
    <t>*Claims basis</t>
  </si>
  <si>
    <t>Total Member Lives - 12 months</t>
  </si>
  <si>
    <t>Total Member Lives - Monthly Avg</t>
  </si>
  <si>
    <r>
      <t>Medicaid</t>
    </r>
    <r>
      <rPr>
        <vertAlign val="superscript"/>
        <sz val="12"/>
        <color theme="1"/>
        <rFont val="Calibri"/>
        <family val="2"/>
        <scheme val="minor"/>
      </rPr>
      <t>a</t>
    </r>
  </si>
  <si>
    <r>
      <t>Commercial (not Self-Insured)</t>
    </r>
    <r>
      <rPr>
        <vertAlign val="superscript"/>
        <sz val="12"/>
        <color theme="1"/>
        <rFont val="Calibri"/>
        <family val="2"/>
        <scheme val="minor"/>
      </rPr>
      <t>b</t>
    </r>
  </si>
  <si>
    <r>
      <rPr>
        <vertAlign val="superscript"/>
        <sz val="11"/>
        <color theme="1"/>
        <rFont val="Calibri"/>
        <family val="2"/>
        <scheme val="minor"/>
      </rPr>
      <t>a</t>
    </r>
    <r>
      <rPr>
        <sz val="11"/>
        <color theme="1"/>
        <rFont val="Calibri"/>
        <family val="2"/>
        <scheme val="minor"/>
      </rPr>
      <t>Medicaid:</t>
    </r>
  </si>
  <si>
    <r>
      <rPr>
        <vertAlign val="superscript"/>
        <sz val="11"/>
        <color theme="1"/>
        <rFont val="Calibri"/>
        <family val="2"/>
        <scheme val="minor"/>
      </rPr>
      <t>b</t>
    </r>
    <r>
      <rPr>
        <sz val="11"/>
        <color theme="1"/>
        <rFont val="Calibri"/>
        <family val="2"/>
        <scheme val="minor"/>
      </rPr>
      <t>Blue Cross:</t>
    </r>
  </si>
  <si>
    <t>Source Document: 2019 One Care Financial Performance Report</t>
  </si>
  <si>
    <t>Source Document: June 2021 Payment Statement</t>
  </si>
  <si>
    <t>Note: No other payers have value-based component</t>
  </si>
  <si>
    <t>Covid Related Adult Day Care State Funds</t>
  </si>
  <si>
    <r>
      <t>VT FY20 Covid Loan</t>
    </r>
    <r>
      <rPr>
        <vertAlign val="superscript"/>
        <sz val="11"/>
        <color rgb="FF0033CC"/>
        <rFont val="Calibri"/>
        <family val="2"/>
        <scheme val="minor"/>
      </rPr>
      <t>a</t>
    </r>
  </si>
  <si>
    <r>
      <rPr>
        <vertAlign val="superscript"/>
        <sz val="10.5"/>
        <rFont val="Calibri"/>
        <family val="2"/>
        <scheme val="minor"/>
      </rPr>
      <t>a</t>
    </r>
    <r>
      <rPr>
        <sz val="10.5"/>
        <rFont val="Calibri"/>
        <family val="2"/>
        <scheme val="minor"/>
      </rPr>
      <t>Included in bankruptcy settlement</t>
    </r>
  </si>
  <si>
    <t>Other  - DSH reclassed to Medicaid</t>
  </si>
  <si>
    <t>IP Psych Unit State Funds (VT DMH) - Construction</t>
  </si>
  <si>
    <t>IP Psych Unit State Funds (VT DMH) - Operating</t>
  </si>
  <si>
    <t>State DMH Coronavirus Rsponse Grant (Ship/Flex)</t>
  </si>
  <si>
    <t>Employee Benefits</t>
  </si>
  <si>
    <t>State Funding (estimated)</t>
  </si>
  <si>
    <t xml:space="preserve">VAHHS ASPR </t>
  </si>
  <si>
    <t>gross 'as of may21</t>
  </si>
  <si>
    <t>Did not budget for vaccine administration</t>
  </si>
  <si>
    <t>FY21- Dept 88 plus Dept 13 expenses, 2)FY22 est. COVID supplies (incl. lab testing), lab processing (est. based on Fy21)</t>
  </si>
  <si>
    <t>Dept 88 Annualized no wages</t>
  </si>
  <si>
    <t xml:space="preserve">Dept 88 Wages </t>
  </si>
  <si>
    <t>vaccine clinic expensess</t>
  </si>
  <si>
    <t>est. 75% testing</t>
  </si>
  <si>
    <r>
      <t xml:space="preserve">Where is your hospital reporting Vaccine/Testing Revenues and Expenses?  </t>
    </r>
    <r>
      <rPr>
        <b/>
        <sz val="24"/>
        <color theme="0"/>
        <rFont val="Calibri"/>
        <family val="2"/>
        <scheme val="minor"/>
      </rPr>
      <t>Other Operating Revenue for grants</t>
    </r>
    <r>
      <rPr>
        <b/>
        <sz val="24"/>
        <color theme="1"/>
        <rFont val="Calibri"/>
        <family val="2"/>
        <scheme val="minor"/>
      </rPr>
      <t xml:space="preserve">, </t>
    </r>
    <r>
      <rPr>
        <b/>
        <sz val="24"/>
        <color theme="0"/>
        <rFont val="Calibri"/>
        <family val="2"/>
        <scheme val="minor"/>
      </rPr>
      <t>NPR for those billed to insurance</t>
    </r>
  </si>
  <si>
    <t>most are positions previously contracted</t>
  </si>
  <si>
    <t xml:space="preserve">Source: FTE Budget-AET/GMCB Staffing Incr </t>
  </si>
  <si>
    <t>Depreciation</t>
  </si>
  <si>
    <t>includes continued 340b savings</t>
  </si>
  <si>
    <t>Interest</t>
  </si>
  <si>
    <t>2% COLA anticipated. Dec 2021</t>
  </si>
  <si>
    <t>Springfield Hospital</t>
  </si>
  <si>
    <t>Net Revenue Analysis</t>
  </si>
  <si>
    <t>FY2022 Budget</t>
  </si>
  <si>
    <t>FY2022 Budget No Increase</t>
  </si>
  <si>
    <t>Blue Cross</t>
  </si>
  <si>
    <t>0ther</t>
  </si>
  <si>
    <t>Self Pay</t>
  </si>
  <si>
    <t>Utilization:</t>
  </si>
  <si>
    <t>Inpatient</t>
  </si>
  <si>
    <t>Outpatient</t>
  </si>
  <si>
    <t>GPSR:</t>
  </si>
  <si>
    <t>Contractual Adjustments %s:</t>
  </si>
  <si>
    <t>ReduceBC &amp; Commercial  by</t>
  </si>
  <si>
    <t xml:space="preserve"> </t>
  </si>
  <si>
    <t>Deductions From Revenue:</t>
  </si>
  <si>
    <t>Bad Debts - Inpatient</t>
  </si>
  <si>
    <t>Bad Debts - Outpatient</t>
  </si>
  <si>
    <t>Charity Care - Inpatient</t>
  </si>
  <si>
    <t>Charity Care - Outpatient</t>
  </si>
  <si>
    <t>Disproportionate Share</t>
  </si>
  <si>
    <t>Other Adjustments - Inpatient</t>
  </si>
  <si>
    <t>Other Adjustments - Outpatient</t>
  </si>
  <si>
    <t>Net Patient Service Revenue (NPSR)</t>
  </si>
  <si>
    <t>2022 GPSR INCREASE</t>
  </si>
  <si>
    <t>Net Change</t>
  </si>
  <si>
    <t>Total GPSR with Rate Increase:</t>
  </si>
  <si>
    <t>Source: From Tabs in Workbook</t>
  </si>
  <si>
    <t>Contractual Adjustments due to Rate Increase:</t>
  </si>
  <si>
    <t>comm</t>
  </si>
  <si>
    <t>Charity Care - Ioutpatient</t>
  </si>
  <si>
    <t>Other Adjustments - Outpatient (Rounding)</t>
  </si>
  <si>
    <t>Contractual Adjustments with Rate Change:</t>
  </si>
  <si>
    <t>Net Patient Service Revenue (NPSR):</t>
  </si>
  <si>
    <t>Less: Other Deductions</t>
  </si>
  <si>
    <t xml:space="preserve">Totals </t>
  </si>
  <si>
    <t>NPR Due to Rate Change (KW)</t>
  </si>
  <si>
    <t>GPR</t>
  </si>
  <si>
    <t>Total Adjustments</t>
  </si>
  <si>
    <t>Total NPR Increase due to Rate Increase</t>
  </si>
  <si>
    <t>To "1.  Reconciliation tab/Table 1</t>
  </si>
  <si>
    <t>Actuals--2 Years-Commercial...</t>
  </si>
  <si>
    <t>Budget 2020 Approved--1 Year-Medicaid</t>
  </si>
  <si>
    <t>Budget 2021 Approved--1 Year-Medicare</t>
  </si>
  <si>
    <t>-1 Year-Actuals</t>
  </si>
  <si>
    <t>Actuals</t>
  </si>
  <si>
    <t>Budget 2020 Approved</t>
  </si>
  <si>
    <t>Budget 2021 Approved</t>
  </si>
  <si>
    <t/>
  </si>
  <si>
    <t>FY2019</t>
  </si>
  <si>
    <t>FY2020</t>
  </si>
  <si>
    <t>FY2021</t>
  </si>
  <si>
    <t>Oct-2020</t>
  </si>
  <si>
    <t>Nov-2020</t>
  </si>
  <si>
    <t>Dec-2020</t>
  </si>
  <si>
    <t>Jan-2021</t>
  </si>
  <si>
    <t>Feb-2021</t>
  </si>
  <si>
    <t>Mar-2021</t>
  </si>
  <si>
    <t>Apr-2021</t>
  </si>
  <si>
    <t>May-2021</t>
  </si>
  <si>
    <t>Jun-2021</t>
  </si>
  <si>
    <t>Jul-2021</t>
  </si>
  <si>
    <t>Aug-2021</t>
  </si>
  <si>
    <t>Sep-2021</t>
  </si>
  <si>
    <t>Payer Mix</t>
  </si>
  <si>
    <t>Due Jan 31st 2020 A</t>
  </si>
  <si>
    <t>2021 YTD</t>
  </si>
  <si>
    <t>2021 PROJ</t>
  </si>
  <si>
    <t>2020 B- 
2020 A YTD</t>
  </si>
  <si>
    <t>Change in:</t>
  </si>
  <si>
    <t>Gross Revenue</t>
  </si>
  <si>
    <t>Contractual Allowances (includes Bad Debt &amp; Free Care)</t>
  </si>
  <si>
    <t>Disproportionate Share Payments-Payer (Uncategorized)</t>
  </si>
  <si>
    <t>Graduate Medical Education Payments</t>
  </si>
  <si>
    <t>Net Payer Revenue</t>
  </si>
  <si>
    <t>Reserves - Risk Portion-Medicaid...</t>
  </si>
  <si>
    <t>Reserves - Risk Portion</t>
  </si>
  <si>
    <t>Total Net Payer Revenue &amp; Fixed Prospective Payment</t>
  </si>
  <si>
    <t>Above From the Income Statement</t>
  </si>
  <si>
    <t>Total Revenue-Commercial</t>
  </si>
  <si>
    <t>Contractual Allowances-Commercial</t>
  </si>
  <si>
    <t>Disproportionate Share Payments-Commercial</t>
  </si>
  <si>
    <t>Graduate Medical Education Payments-Hosp-Commercial...</t>
  </si>
  <si>
    <t>Net Payer Revenue-Commercial</t>
  </si>
  <si>
    <t>Fixed Prospective Payments-Commercial</t>
  </si>
  <si>
    <t>Reserves - Risk Portion-Commercial</t>
  </si>
  <si>
    <t>Other Reform Payments-Commercial</t>
  </si>
  <si>
    <t>Total Net Payer Revenue &amp; Fixed Prospective Payment-Commercial</t>
  </si>
  <si>
    <t>Total Revenue-Medicaid</t>
  </si>
  <si>
    <t>Contractual Allowances-Medicaid</t>
  </si>
  <si>
    <t>Disproportionate Share Payments-Medicaid</t>
  </si>
  <si>
    <t>Graduate Medical Education Payments-Hosp-Medicaid...</t>
  </si>
  <si>
    <t>Net Payer Revenue-Medicaid</t>
  </si>
  <si>
    <t>Fixed Prospective Payments-Medicaid</t>
  </si>
  <si>
    <t>Reserves - Risk Portion-Medicaid</t>
  </si>
  <si>
    <t>Other Reform Payments-Medicaid</t>
  </si>
  <si>
    <t>Total Net Payer Revenue &amp; Fixed Prospective Payment-Medicaid</t>
  </si>
  <si>
    <t>Edit</t>
  </si>
  <si>
    <t>Edit to Income Statement</t>
  </si>
  <si>
    <t xml:space="preserve">FY21 NPR Budget </t>
  </si>
  <si>
    <t>Doesn't incl DSH</t>
  </si>
  <si>
    <t>KW Calc for 1. Reconciliation tab</t>
  </si>
  <si>
    <t>Source:  Fy21 Bud Payer Mix tab</t>
  </si>
  <si>
    <t>Utilization (plug)</t>
  </si>
  <si>
    <t>Total NPR Budget</t>
  </si>
  <si>
    <t>Calc. check</t>
  </si>
  <si>
    <t>bad debt, do not enter this part on rate chg, incl on separate line for bad debt</t>
  </si>
  <si>
    <t>Incremental GPSR Change Due to Rate Increase:</t>
  </si>
  <si>
    <t>(a)</t>
  </si>
  <si>
    <t>Sum of (a) =  difference between FY21NPR and FY22 Budgeted NPR Before Rate Increase</t>
  </si>
  <si>
    <t>Source "FY21 Bud Payer Mix Hide"</t>
  </si>
  <si>
    <t>ASS</t>
  </si>
  <si>
    <t>FY19 ACTUAL</t>
  </si>
  <si>
    <t>YTD APR21</t>
  </si>
  <si>
    <t>FY20 ACTUAL</t>
  </si>
  <si>
    <t>FY21 ANNUALIZED</t>
  </si>
  <si>
    <t>FY21 BUDGET</t>
  </si>
  <si>
    <t xml:space="preserve">FY22 BUDGET </t>
  </si>
  <si>
    <t xml:space="preserve">Diff From FY21 ANNUALIZED ($) </t>
  </si>
  <si>
    <t xml:space="preserve">Diff From FY21 BUDGET ($) </t>
  </si>
  <si>
    <t>Diff From FY21 ANNUALIZED (%)</t>
  </si>
  <si>
    <t>Diff From FY21 BUDGET (%)</t>
  </si>
  <si>
    <t>GROSS PATIENT SERVICE REVENUE:</t>
  </si>
  <si>
    <t>NO INCREASE</t>
  </si>
  <si>
    <t>Inpatient Revenue</t>
  </si>
  <si>
    <t>Outpatient Revenue</t>
  </si>
  <si>
    <t xml:space="preserve">   Total Gross Patient Service Revenue</t>
  </si>
  <si>
    <t>Deductions from Revenue:</t>
  </si>
  <si>
    <t>Contractual Allowances</t>
  </si>
  <si>
    <t>Charity Care &amp; Other Allowances</t>
  </si>
  <si>
    <t>Provision for Bad Debts</t>
  </si>
  <si>
    <t xml:space="preserve">   Total Deductions from Revenue</t>
  </si>
  <si>
    <t xml:space="preserve">        Net Patient Service Revenue</t>
  </si>
  <si>
    <t xml:space="preserve">  TOTAL OPERATING REVENUE</t>
  </si>
  <si>
    <t>NPSR %</t>
  </si>
  <si>
    <t>OPERATING EXPENSES:</t>
  </si>
  <si>
    <t>Salaries &amp; Wages</t>
  </si>
  <si>
    <t>Employee Benefits &amp; Payroll Taxes</t>
  </si>
  <si>
    <t>Management &amp; Contract Services</t>
  </si>
  <si>
    <t>Other Purchased Services</t>
  </si>
  <si>
    <t>Physician Fees</t>
  </si>
  <si>
    <t>Travelers</t>
  </si>
  <si>
    <t>Insurance</t>
  </si>
  <si>
    <t>Provider Tax</t>
  </si>
  <si>
    <t>Other Expenses</t>
  </si>
  <si>
    <t xml:space="preserve">  TOTAL OPERATING EXPENSES</t>
  </si>
  <si>
    <t xml:space="preserve">           OPERATING INCOME (LOSS)</t>
  </si>
  <si>
    <t>NON-OPERATING REVENUE (NET)</t>
  </si>
  <si>
    <t>NET TRANSFERS IN/(OUT)</t>
  </si>
  <si>
    <t>UNRECOGNIZED PENSION EXPENSE</t>
  </si>
  <si>
    <t>INCR. (DECR.) IN UNRESTRICTED NET ASSETS</t>
  </si>
  <si>
    <t>EBITDA Calculation:</t>
  </si>
  <si>
    <t>Add Depr &amp; Interest</t>
  </si>
  <si>
    <t>Debt Payments</t>
  </si>
  <si>
    <t>Pension Expenses Funding</t>
  </si>
  <si>
    <t>Capital Purchases</t>
  </si>
  <si>
    <t xml:space="preserve">EBITDA </t>
  </si>
  <si>
    <t>CHECK TO YTD TB TAB</t>
  </si>
  <si>
    <t>Assumption Notes</t>
  </si>
  <si>
    <t>vs. FY21 annualized</t>
  </si>
  <si>
    <t>Vs. Bud FY21</t>
  </si>
  <si>
    <t>Questions</t>
  </si>
  <si>
    <t>Includes CEO/CFO previously in Mgmt &amp; Contracted Services</t>
  </si>
  <si>
    <t>1.  Need to look at increase in Salaries and Wages plus travelers</t>
  </si>
  <si>
    <t>Added 2% COLA 12/1/21 staff only, excl providers</t>
  </si>
  <si>
    <t>COVID Expenses</t>
  </si>
  <si>
    <t xml:space="preserve">COVID Lab Tests processing ($20K avg mo), supplies </t>
  </si>
  <si>
    <t xml:space="preserve">primarily COVID lab tests sent out </t>
  </si>
  <si>
    <t>COVID Revenue</t>
  </si>
  <si>
    <t>Estimate only</t>
  </si>
  <si>
    <t>Add'l $22K payroll taxes related to 2% COLA</t>
  </si>
  <si>
    <t>Added 401K match January 2022 - est. $168000 9 mos.</t>
  </si>
  <si>
    <t>Dept 32 - Increasing by $50K - primarily General Insurance - policy amounts for Coverys Excess and Gen'l don't appear to have been decreased (assuming SMCS is excl) and would have expected to bwe</t>
  </si>
  <si>
    <t>MSSA Revenue</t>
  </si>
  <si>
    <t>Assumes shared staff same as current - do we want to adjust for any areas (CFO, Accounting, Quality, etc)</t>
  </si>
  <si>
    <t>Assumes last 1/2 yr second surgeon, OR DO WE WANT TO BE CONSERVATIVE AND NOT BUDGET THIS</t>
  </si>
  <si>
    <t>Provider Taxes</t>
  </si>
  <si>
    <t>Payments increased @4800/mo, expense increased $58K</t>
  </si>
  <si>
    <t>Volume:</t>
  </si>
  <si>
    <t>2/1/2020 YTD-Pre COVID</t>
  </si>
  <si>
    <t>FY21 May</t>
  </si>
  <si>
    <t>ER</t>
  </si>
  <si>
    <t>Increase to visits/day</t>
  </si>
  <si>
    <t>IPCU</t>
  </si>
  <si>
    <t>Increase to pts/day</t>
  </si>
  <si>
    <t>Surgery</t>
  </si>
  <si>
    <t>Psych</t>
  </si>
  <si>
    <t>ADC</t>
  </si>
  <si>
    <t>Should this be decreased to prior historical ADC?</t>
  </si>
  <si>
    <t>Financially solvent, just came out of bankruptcy</t>
  </si>
  <si>
    <t>Budgeted EBITDA Above</t>
  </si>
  <si>
    <t>High priority capital requests</t>
  </si>
  <si>
    <t>EBITDA</t>
  </si>
  <si>
    <t>NPR to Break Even</t>
  </si>
  <si>
    <t>Increase to Break Even From Budget</t>
  </si>
  <si>
    <t>Approved GMCB 2021 Budget</t>
  </si>
  <si>
    <t>Confirmed</t>
  </si>
  <si>
    <t>Budget Increase to GMCB 2021 Approved Budget</t>
  </si>
  <si>
    <t>Increase Needed to GMCB 2021 Approved Budget</t>
  </si>
  <si>
    <t>Requested Rate Increase</t>
  </si>
  <si>
    <t>Increase Allowed</t>
  </si>
  <si>
    <t>Increase Allowed to GMCB 2021 Approved Budget</t>
  </si>
  <si>
    <t>Increase Needed</t>
  </si>
  <si>
    <t>Shortfall at 3.5%</t>
  </si>
  <si>
    <t>Adjusted EBITDA with Requested Rate Increase</t>
  </si>
  <si>
    <t>Breakeven</t>
  </si>
  <si>
    <t>Inc (Dec) in Assets</t>
  </si>
  <si>
    <t>For Oper Exp Trending Slide</t>
  </si>
  <si>
    <t>Michael Halstead (Interim)</t>
  </si>
  <si>
    <t>Allan Scroggins (Interim)</t>
  </si>
  <si>
    <t>Fiscal Year 2021 YTD Summary</t>
  </si>
  <si>
    <t>See "Income Statement 0% INCR" tab</t>
  </si>
  <si>
    <t>Incl DSH</t>
  </si>
  <si>
    <t>KW Changed Calc to recl DSH in Fy21 Approved Bud</t>
  </si>
  <si>
    <t>staff only, excl providers</t>
  </si>
  <si>
    <t>GPR Change without increase</t>
  </si>
  <si>
    <t>changes from Recon tab. To recl DSH to Medicaid in FY21</t>
  </si>
  <si>
    <t>FY 2021 Approved Budget (recl DSH)</t>
  </si>
  <si>
    <t>IP Acute Care</t>
  </si>
  <si>
    <t>IP Psych</t>
  </si>
  <si>
    <t>OP Specialty Professional Services</t>
  </si>
  <si>
    <t>OP Anesthesia</t>
  </si>
  <si>
    <t>bud too high fy21</t>
  </si>
  <si>
    <t>OP Clinic</t>
  </si>
  <si>
    <t>21,22,24,28</t>
  </si>
  <si>
    <t>OP Surgery (incl ODS, Endo, Recovery)</t>
  </si>
  <si>
    <t xml:space="preserve">Source of changes:   FY22 Expense (Non-Wages) Budget Input/YTD TB </t>
  </si>
  <si>
    <t>These numbers are rounded</t>
  </si>
  <si>
    <t>Diff due to rounding</t>
  </si>
  <si>
    <t>Source:  FY21 Annualized Net Rev</t>
  </si>
  <si>
    <t>Same as above, rounded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</si>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</sst>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 numFmtId="169" formatCode="[$-409]#,##0.00;\([$-409]#,##0.00\)"/>
    <numFmt numFmtId="170" formatCode="0.0%;[Red]\-0.0%"/>
    <numFmt numFmtId="171" formatCode="&quot;$&quot;#,###,##0;\(&quot;$&quot;#,###,##0\)"/>
    <numFmt numFmtId="172" formatCode="_(* #,##0.0_);_(* \(#,##0.0\);_(* &quot;-&quot;??_);_(@_)"/>
    <numFmt numFmtId="173" formatCode="0.0"/>
    <numFmt numFmtId="174" formatCode="_(* #,##0.000_);_(* \(#,##0.000\);_(* &quot;-&quot;??_);_(@_)"/>
  </numFmts>
  <fonts count="75" x14ac:knownFonts="1">
    <font>
      <sz val="11"/>
      <color theme="1"/>
      <name val="Calibri"/>
      <family val="2"/>
      <scheme val="minor"/>
    </font>
    <font>
      <sz val="12"/>
      <color theme="1"/>
      <name val="Calibri"/>
      <family val="2"/>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sz val="11"/>
      <color rgb="FFFF0000"/>
      <name val="Calibri"/>
      <family val="2"/>
      <scheme val="minor"/>
    </font>
    <font>
      <b/>
      <sz val="24"/>
      <color theme="1"/>
      <name val="Calibri"/>
      <family val="2"/>
      <scheme val="minor"/>
    </font>
    <font>
      <sz val="24"/>
      <color theme="1"/>
      <name val="Calibri"/>
      <family val="2"/>
      <scheme val="minor"/>
    </font>
    <font>
      <b/>
      <sz val="20"/>
      <color theme="1"/>
      <name val="Calibri"/>
      <family val="2"/>
      <scheme val="minor"/>
    </font>
    <font>
      <sz val="20"/>
      <color theme="1"/>
      <name val="Calibri"/>
      <family val="2"/>
      <scheme val="minor"/>
    </font>
    <font>
      <b/>
      <sz val="26"/>
      <color theme="1"/>
      <name val="Calibri"/>
      <family val="2"/>
      <scheme val="minor"/>
    </font>
    <font>
      <b/>
      <i/>
      <sz val="11"/>
      <color theme="1"/>
      <name val="Calibri"/>
      <family val="2"/>
    </font>
    <font>
      <sz val="11"/>
      <name val="Calibri"/>
      <family val="2"/>
    </font>
    <font>
      <i/>
      <sz val="11"/>
      <color theme="1"/>
      <name val="Calibri"/>
      <family val="2"/>
      <scheme val="minor"/>
    </font>
    <font>
      <b/>
      <sz val="24"/>
      <color theme="1"/>
      <name val="Calibri"/>
      <family val="2"/>
    </font>
    <font>
      <sz val="12"/>
      <color theme="1"/>
      <name val="Calibri"/>
      <family val="2"/>
    </font>
    <font>
      <i/>
      <sz val="12"/>
      <color rgb="FFFF0000"/>
      <name val="Calibri"/>
      <family val="2"/>
    </font>
    <font>
      <sz val="11"/>
      <name val="Calibri"/>
      <family val="2"/>
      <scheme val="minor"/>
    </font>
    <font>
      <sz val="11"/>
      <color rgb="FFFF0000"/>
      <name val="Calibri"/>
      <family val="2"/>
    </font>
    <font>
      <sz val="12"/>
      <color rgb="FFFF0000"/>
      <name val="Calibri"/>
      <family val="2"/>
      <scheme val="minor"/>
    </font>
    <font>
      <vertAlign val="superscript"/>
      <sz val="12"/>
      <color theme="1"/>
      <name val="Calibri"/>
      <family val="2"/>
      <scheme val="minor"/>
    </font>
    <font>
      <sz val="12"/>
      <name val="Calibri"/>
      <family val="2"/>
      <scheme val="minor"/>
    </font>
    <font>
      <vertAlign val="superscript"/>
      <sz val="11"/>
      <color theme="1"/>
      <name val="Calibri"/>
      <family val="2"/>
      <scheme val="minor"/>
    </font>
    <font>
      <sz val="11"/>
      <color rgb="FF0033CC"/>
      <name val="Calibri"/>
      <family val="2"/>
      <scheme val="minor"/>
    </font>
    <font>
      <vertAlign val="superscript"/>
      <sz val="11"/>
      <color rgb="FF0033CC"/>
      <name val="Calibri"/>
      <family val="2"/>
      <scheme val="minor"/>
    </font>
    <font>
      <sz val="10.5"/>
      <name val="Calibri"/>
      <family val="2"/>
      <scheme val="minor"/>
    </font>
    <font>
      <vertAlign val="superscript"/>
      <sz val="10.5"/>
      <name val="Calibri"/>
      <family val="2"/>
      <scheme val="minor"/>
    </font>
    <font>
      <sz val="11"/>
      <color rgb="FF0033CC"/>
      <name val="Calibri"/>
      <family val="2"/>
    </font>
    <font>
      <sz val="9"/>
      <color rgb="FFFF0000"/>
      <name val="Calibri"/>
      <family val="2"/>
    </font>
    <font>
      <sz val="16"/>
      <color theme="1"/>
      <name val="Calibri"/>
      <family val="2"/>
      <scheme val="minor"/>
    </font>
    <font>
      <sz val="9"/>
      <color indexed="81"/>
      <name val="Tahoma"/>
      <family val="2"/>
    </font>
    <font>
      <b/>
      <sz val="9"/>
      <color indexed="81"/>
      <name val="Tahoma"/>
      <family val="2"/>
    </font>
    <font>
      <sz val="14"/>
      <color indexed="81"/>
      <name val="Tahoma"/>
      <family val="2"/>
    </font>
    <font>
      <b/>
      <sz val="24"/>
      <color theme="0"/>
      <name val="Calibri"/>
      <family val="2"/>
      <scheme val="minor"/>
    </font>
    <font>
      <sz val="14"/>
      <color rgb="FFFF0000"/>
      <name val="Calibri"/>
      <family val="2"/>
      <scheme val="minor"/>
    </font>
    <font>
      <b/>
      <sz val="14"/>
      <color rgb="FFFF0000"/>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sz val="11"/>
      <color theme="0"/>
      <name val="Calibri"/>
      <family val="2"/>
      <scheme val="minor"/>
    </font>
    <font>
      <sz val="24"/>
      <color theme="0"/>
      <name val="Calibri"/>
      <family val="2"/>
    </font>
    <font>
      <sz val="24"/>
      <color theme="1"/>
      <name val="Calibri"/>
      <family val="2"/>
    </font>
    <font>
      <b/>
      <sz val="26"/>
      <color theme="0"/>
      <name val="Calibri"/>
      <family val="2"/>
      <scheme val="minor"/>
    </font>
    <font>
      <sz val="26"/>
      <color theme="1"/>
      <name val="Calibri"/>
      <family val="2"/>
      <scheme val="minor"/>
    </font>
    <font>
      <b/>
      <sz val="18"/>
      <color theme="0"/>
      <name val="Calibri"/>
      <family val="2"/>
      <scheme val="minor"/>
    </font>
    <font>
      <b/>
      <sz val="18"/>
      <color theme="1"/>
      <name val="Calibri"/>
      <family val="2"/>
      <scheme val="minor"/>
    </font>
    <font>
      <sz val="28"/>
      <color theme="0"/>
      <name val="Calibri"/>
      <family val="2"/>
      <scheme val="minor"/>
    </font>
    <font>
      <b/>
      <sz val="28"/>
      <color theme="1"/>
      <name val="Calibri"/>
      <family val="2"/>
      <scheme val="minor"/>
    </font>
    <font>
      <sz val="28"/>
      <color theme="1"/>
      <name val="Calibri"/>
      <family val="2"/>
      <scheme val="minor"/>
    </font>
    <font>
      <sz val="24"/>
      <color theme="0"/>
      <name val="Calibri"/>
      <family val="2"/>
      <scheme val="minor"/>
    </font>
    <font>
      <sz val="26"/>
      <color theme="0"/>
      <name val="Calibri"/>
      <family val="2"/>
      <scheme val="minor"/>
    </font>
    <font>
      <b/>
      <sz val="16"/>
      <color rgb="FFFF0000"/>
      <name val="Calibri"/>
      <family val="2"/>
      <scheme val="minor"/>
    </font>
    <font>
      <sz val="16"/>
      <color rgb="FFFF0000"/>
      <name val="Calibri"/>
      <family val="2"/>
      <scheme val="minor"/>
    </font>
    <font>
      <b/>
      <sz val="11"/>
      <name val="Calibri"/>
      <family val="2"/>
      <scheme val="minor"/>
    </font>
    <font>
      <b/>
      <sz val="10"/>
      <color indexed="8"/>
      <name val="Century Gothic"/>
      <family val="2"/>
    </font>
    <font>
      <sz val="10"/>
      <color indexed="8"/>
      <name val="Century Gothic"/>
      <family val="2"/>
    </font>
    <font>
      <sz val="10"/>
      <name val="Century Gothic"/>
      <family val="2"/>
    </font>
    <font>
      <b/>
      <sz val="10"/>
      <name val="Century Gothic"/>
      <family val="2"/>
    </font>
    <font>
      <b/>
      <sz val="11"/>
      <color theme="0"/>
      <name val="Calibri"/>
      <family val="2"/>
      <scheme val="minor"/>
    </font>
    <font>
      <b/>
      <sz val="9"/>
      <color indexed="81"/>
      <name val="Tahoma"/>
      <charset val="1"/>
    </font>
    <font>
      <b/>
      <sz val="14"/>
      <color indexed="81"/>
      <name val="Tahoma"/>
      <family val="2"/>
    </font>
  </fonts>
  <fills count="32">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E2EFDA"/>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99"/>
        <bgColor indexed="64"/>
      </patternFill>
    </fill>
    <fill>
      <patternFill patternType="solid">
        <fgColor theme="1"/>
        <bgColor indexed="64"/>
      </patternFill>
    </fill>
  </fills>
  <borders count="8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auto="1"/>
      </left>
      <right style="thin">
        <color auto="1"/>
      </right>
      <top/>
      <bottom/>
      <diagonal/>
    </border>
    <border>
      <left style="medium">
        <color indexed="64"/>
      </left>
      <right style="thin">
        <color indexed="64"/>
      </right>
      <top/>
      <bottom/>
      <diagonal/>
    </border>
    <border>
      <left style="medium">
        <color indexed="64"/>
      </left>
      <right style="thin">
        <color auto="1"/>
      </right>
      <top style="thin">
        <color indexed="64"/>
      </top>
      <bottom style="double">
        <color indexed="64"/>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theme="9" tint="0.39994506668294322"/>
      </bottom>
      <diagonal/>
    </border>
    <border>
      <left/>
      <right/>
      <top style="medium">
        <color indexed="64"/>
      </top>
      <bottom style="thin">
        <color theme="9" tint="0.39994506668294322"/>
      </bottom>
      <diagonal/>
    </border>
    <border>
      <left/>
      <right style="medium">
        <color indexed="64"/>
      </right>
      <top/>
      <bottom style="thin">
        <color theme="9" tint="0.39994506668294322"/>
      </bottom>
      <diagonal/>
    </border>
    <border>
      <left/>
      <right/>
      <top/>
      <bottom style="thin">
        <color theme="9" tint="0.3999450666829432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auto="1"/>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theme="9" tint="0.39994506668294322"/>
      </top>
      <bottom style="thin">
        <color theme="9" tint="0.39994506668294322"/>
      </bottom>
      <diagonal/>
    </border>
    <border>
      <left style="thin">
        <color indexed="64"/>
      </left>
      <right style="thin">
        <color indexed="64"/>
      </right>
      <top style="thin">
        <color theme="9" tint="0.39994506668294322"/>
      </top>
      <bottom style="thin">
        <color theme="9" tint="0.39994506668294322"/>
      </bottom>
      <diagonal/>
    </border>
    <border>
      <left style="thin">
        <color indexed="64"/>
      </left>
      <right style="medium">
        <color indexed="64"/>
      </right>
      <top style="thin">
        <color theme="9" tint="0.39994506668294322"/>
      </top>
      <bottom style="thin">
        <color theme="9" tint="0.39994506668294322"/>
      </bottom>
      <diagonal/>
    </border>
    <border>
      <left/>
      <right/>
      <top style="thin">
        <color theme="9" tint="0.39994506668294322"/>
      </top>
      <bottom style="thin">
        <color theme="9" tint="0.39994506668294322"/>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5" fillId="0" borderId="0"/>
    <xf numFmtId="0" fontId="8" fillId="0" borderId="0" applyNumberFormat="0" applyFill="0" applyBorder="0" applyAlignment="0" applyProtection="0"/>
    <xf numFmtId="43" fontId="5" fillId="0" borderId="0" applyFont="0" applyFill="0" applyBorder="0" applyAlignment="0" applyProtection="0"/>
    <xf numFmtId="0" fontId="5" fillId="0" borderId="0"/>
  </cellStyleXfs>
  <cellXfs count="853">
    <xf numFmtId="0" fontId="0" fillId="0" borderId="0" xfId="0"/>
    <xf numFmtId="0" fontId="5" fillId="0" borderId="0" xfId="5"/>
    <xf numFmtId="0" fontId="6" fillId="0" borderId="0" xfId="5" applyFont="1"/>
    <xf numFmtId="0" fontId="6" fillId="0" borderId="4" xfId="5" applyFont="1" applyBorder="1"/>
    <xf numFmtId="0" fontId="7"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4" fillId="0" borderId="0" xfId="4" applyAlignment="1">
      <alignment vertical="center"/>
    </xf>
    <xf numFmtId="0" fontId="5" fillId="0" borderId="0" xfId="5" applyFont="1" applyBorder="1" applyAlignment="1"/>
    <xf numFmtId="165" fontId="0" fillId="0" borderId="4" xfId="0" applyNumberFormat="1" applyBorder="1"/>
    <xf numFmtId="166" fontId="0" fillId="0" borderId="0" xfId="7" applyNumberFormat="1"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9"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9" fillId="0" borderId="0" xfId="5" applyFont="1"/>
    <xf numFmtId="0" fontId="9" fillId="0" borderId="5" xfId="5" applyFont="1" applyBorder="1" applyAlignment="1">
      <alignment horizontal="center" vertical="center" wrapText="1"/>
    </xf>
    <xf numFmtId="0" fontId="9" fillId="0" borderId="6" xfId="5" applyFont="1" applyBorder="1" applyAlignment="1">
      <alignment horizontal="left" vertical="top" wrapText="1"/>
    </xf>
    <xf numFmtId="0" fontId="9" fillId="0" borderId="7" xfId="5" applyFont="1" applyBorder="1" applyAlignment="1">
      <alignment horizontal="left" vertical="top" wrapText="1"/>
    </xf>
    <xf numFmtId="0" fontId="9" fillId="0" borderId="8" xfId="5" applyFont="1" applyBorder="1"/>
    <xf numFmtId="0" fontId="9" fillId="0" borderId="9" xfId="5" applyFont="1" applyBorder="1" applyAlignment="1">
      <alignment vertical="top"/>
    </xf>
    <xf numFmtId="0" fontId="9" fillId="0" borderId="10" xfId="5" applyFont="1" applyBorder="1" applyAlignment="1">
      <alignment vertical="top"/>
    </xf>
    <xf numFmtId="0" fontId="9" fillId="0" borderId="11" xfId="5" applyFont="1" applyBorder="1"/>
    <xf numFmtId="0" fontId="9" fillId="0" borderId="12" xfId="5" applyFont="1" applyBorder="1"/>
    <xf numFmtId="0" fontId="9" fillId="0" borderId="13" xfId="5" applyFont="1" applyBorder="1"/>
    <xf numFmtId="0" fontId="9" fillId="4" borderId="12" xfId="5" applyFont="1" applyFill="1" applyBorder="1"/>
    <xf numFmtId="0" fontId="2" fillId="0" borderId="0" xfId="5" applyFont="1"/>
    <xf numFmtId="0" fontId="4" fillId="0" borderId="0" xfId="6" applyFont="1" applyAlignment="1">
      <alignment horizontal="left"/>
    </xf>
    <xf numFmtId="168" fontId="5" fillId="5" borderId="0" xfId="5" applyNumberFormat="1" applyFont="1" applyFill="1" applyBorder="1"/>
    <xf numFmtId="0" fontId="9" fillId="0" borderId="0" xfId="0" applyFont="1" applyBorder="1" applyAlignment="1">
      <alignment vertical="center"/>
    </xf>
    <xf numFmtId="0" fontId="0" fillId="0" borderId="0" xfId="0" applyFont="1" applyBorder="1"/>
    <xf numFmtId="0" fontId="3" fillId="3" borderId="4" xfId="0" applyFont="1" applyFill="1" applyBorder="1"/>
    <xf numFmtId="0" fontId="6" fillId="0" borderId="4" xfId="5" applyFont="1" applyBorder="1" applyAlignment="1">
      <alignment horizontal="center" wrapText="1"/>
    </xf>
    <xf numFmtId="9" fontId="5"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0" fontId="0" fillId="0" borderId="0" xfId="0" applyBorder="1" applyAlignment="1">
      <alignment horizontal="center"/>
    </xf>
    <xf numFmtId="164" fontId="0" fillId="0" borderId="0" xfId="3" applyNumberFormat="1"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7" fillId="5" borderId="0" xfId="0" applyFont="1" applyFill="1" applyAlignment="1">
      <alignment horizontal="center"/>
    </xf>
    <xf numFmtId="0" fontId="0" fillId="5" borderId="0" xfId="0" applyFill="1"/>
    <xf numFmtId="0" fontId="3" fillId="3" borderId="4" xfId="0" applyFont="1" applyFill="1" applyBorder="1" applyAlignment="1">
      <alignment horizontal="center"/>
    </xf>
    <xf numFmtId="0" fontId="6"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5" fillId="5" borderId="0" xfId="5" applyFill="1"/>
    <xf numFmtId="9" fontId="5" fillId="5" borderId="0" xfId="3" applyFont="1" applyFill="1" applyBorder="1"/>
    <xf numFmtId="165" fontId="0" fillId="5" borderId="4" xfId="0" applyNumberFormat="1" applyFill="1" applyBorder="1"/>
    <xf numFmtId="0" fontId="14" fillId="0" borderId="0" xfId="0" applyFont="1"/>
    <xf numFmtId="0" fontId="14" fillId="0" borderId="4" xfId="0" applyFont="1" applyBorder="1"/>
    <xf numFmtId="3" fontId="14" fillId="5" borderId="4" xfId="0" applyNumberFormat="1" applyFont="1" applyFill="1" applyBorder="1"/>
    <xf numFmtId="164" fontId="14" fillId="5" borderId="4" xfId="3" applyNumberFormat="1" applyFont="1" applyFill="1" applyBorder="1"/>
    <xf numFmtId="0" fontId="14" fillId="0" borderId="0" xfId="0" applyFont="1" applyBorder="1"/>
    <xf numFmtId="164" fontId="14" fillId="5" borderId="0" xfId="3" applyNumberFormat="1" applyFont="1" applyFill="1" applyBorder="1"/>
    <xf numFmtId="0" fontId="13" fillId="0" borderId="0" xfId="0" applyFont="1" applyFill="1" applyBorder="1"/>
    <xf numFmtId="164" fontId="14" fillId="5" borderId="0" xfId="3" applyNumberFormat="1" applyFont="1" applyFill="1"/>
    <xf numFmtId="167" fontId="14" fillId="5" borderId="4" xfId="0" applyNumberFormat="1" applyFont="1" applyFill="1" applyBorder="1"/>
    <xf numFmtId="0" fontId="13" fillId="0" borderId="4" xfId="0" applyFont="1" applyBorder="1"/>
    <xf numFmtId="167" fontId="13" fillId="5" borderId="4" xfId="0" applyNumberFormat="1" applyFont="1" applyFill="1" applyBorder="1"/>
    <xf numFmtId="0" fontId="5"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6" fillId="6" borderId="4" xfId="5" applyFont="1" applyFill="1" applyBorder="1"/>
    <xf numFmtId="167" fontId="6" fillId="0" borderId="4" xfId="5" applyNumberFormat="1" applyFont="1" applyBorder="1"/>
    <xf numFmtId="165" fontId="5" fillId="0" borderId="4" xfId="3" applyNumberFormat="1" applyFont="1" applyBorder="1"/>
    <xf numFmtId="165" fontId="5" fillId="3" borderId="4" xfId="3" applyNumberFormat="1" applyFont="1" applyFill="1" applyBorder="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0" fontId="11" fillId="0" borderId="0" xfId="0" applyFont="1"/>
    <xf numFmtId="0" fontId="16" fillId="0" borderId="4" xfId="0" applyFont="1" applyBorder="1" applyAlignment="1">
      <alignment horizontal="center" wrapText="1"/>
    </xf>
    <xf numFmtId="0" fontId="16"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6"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6" fillId="12" borderId="4" xfId="5" applyNumberFormat="1" applyFont="1" applyFill="1" applyBorder="1"/>
    <xf numFmtId="9" fontId="6" fillId="12" borderId="4" xfId="3" applyFont="1" applyFill="1" applyBorder="1"/>
    <xf numFmtId="0" fontId="17" fillId="0" borderId="0" xfId="0" applyFont="1"/>
    <xf numFmtId="0" fontId="11" fillId="0" borderId="0" xfId="5" applyFont="1" applyFill="1" applyAlignment="1">
      <alignment horizontal="center"/>
    </xf>
    <xf numFmtId="0" fontId="5" fillId="0" borderId="0" xfId="5" applyFill="1"/>
    <xf numFmtId="0" fontId="2" fillId="0" borderId="0" xfId="5" applyFont="1" applyFill="1"/>
    <xf numFmtId="0" fontId="9" fillId="13" borderId="0" xfId="0" applyFont="1" applyFill="1" applyAlignment="1">
      <alignment horizontal="left" vertical="center"/>
    </xf>
    <xf numFmtId="0" fontId="9" fillId="8" borderId="0" xfId="0" applyFont="1" applyFill="1" applyAlignment="1">
      <alignment horizontal="left" vertical="center"/>
    </xf>
    <xf numFmtId="9" fontId="5" fillId="0" borderId="0" xfId="3" applyFont="1"/>
    <xf numFmtId="0" fontId="3" fillId="0" borderId="0" xfId="1" applyNumberFormat="1" applyFont="1" applyAlignment="1">
      <alignment horizontal="right"/>
    </xf>
    <xf numFmtId="0" fontId="3" fillId="0" borderId="0" xfId="1" applyNumberFormat="1" applyFont="1" applyAlignment="1">
      <alignment horizontal="center" wrapText="1"/>
    </xf>
    <xf numFmtId="0" fontId="20" fillId="0" borderId="0" xfId="1" applyNumberFormat="1" applyFont="1" applyAlignment="1">
      <alignment horizontal="right"/>
    </xf>
    <xf numFmtId="166" fontId="20" fillId="0" borderId="0" xfId="1" applyNumberFormat="1" applyFont="1"/>
    <xf numFmtId="0" fontId="21" fillId="0" borderId="0" xfId="1" applyNumberFormat="1" applyFont="1" applyAlignment="1">
      <alignment horizontal="right"/>
    </xf>
    <xf numFmtId="0" fontId="20" fillId="0" borderId="21" xfId="1" applyNumberFormat="1" applyFont="1" applyBorder="1"/>
    <xf numFmtId="166" fontId="21" fillId="0" borderId="14" xfId="1" applyNumberFormat="1" applyFont="1" applyBorder="1"/>
    <xf numFmtId="166" fontId="21" fillId="0" borderId="0" xfId="1" applyNumberFormat="1" applyFont="1"/>
    <xf numFmtId="0" fontId="20" fillId="11" borderId="22" xfId="1" applyNumberFormat="1" applyFont="1" applyFill="1" applyBorder="1"/>
    <xf numFmtId="0" fontId="22" fillId="0" borderId="0" xfId="1" applyNumberFormat="1" applyFont="1" applyFill="1" applyAlignment="1">
      <alignment horizontal="right"/>
    </xf>
    <xf numFmtId="166" fontId="22" fillId="0" borderId="0" xfId="1" applyNumberFormat="1" applyFont="1" applyFill="1"/>
    <xf numFmtId="0" fontId="23" fillId="0" borderId="0" xfId="1" applyNumberFormat="1" applyFont="1" applyAlignment="1">
      <alignment horizontal="right"/>
    </xf>
    <xf numFmtId="0" fontId="23" fillId="0" borderId="23" xfId="1" applyNumberFormat="1" applyFont="1" applyBorder="1"/>
    <xf numFmtId="166" fontId="23" fillId="0" borderId="0" xfId="1" applyNumberFormat="1" applyFont="1" applyBorder="1"/>
    <xf numFmtId="166" fontId="23" fillId="0" borderId="0" xfId="1" applyNumberFormat="1" applyFont="1"/>
    <xf numFmtId="0" fontId="24" fillId="0" borderId="19" xfId="1" applyNumberFormat="1" applyFont="1" applyBorder="1" applyAlignment="1">
      <alignment horizontal="center" vertical="center"/>
    </xf>
    <xf numFmtId="0" fontId="24" fillId="15" borderId="13" xfId="1" applyNumberFormat="1" applyFont="1" applyFill="1" applyBorder="1" applyAlignment="1">
      <alignment horizontal="center" vertical="center"/>
    </xf>
    <xf numFmtId="166" fontId="24" fillId="14" borderId="4" xfId="1" applyNumberFormat="1" applyFont="1" applyFill="1" applyBorder="1" applyAlignment="1">
      <alignment horizontal="center" vertical="center" wrapText="1"/>
    </xf>
    <xf numFmtId="166" fontId="24" fillId="0" borderId="0" xfId="1" applyNumberFormat="1" applyFont="1" applyAlignment="1">
      <alignment horizontal="center" vertical="center" wrapText="1"/>
    </xf>
    <xf numFmtId="166" fontId="24" fillId="0" borderId="0" xfId="1" applyNumberFormat="1" applyFont="1" applyAlignment="1">
      <alignment horizontal="center" vertical="center"/>
    </xf>
    <xf numFmtId="0" fontId="21" fillId="0" borderId="15" xfId="1" applyNumberFormat="1" applyFont="1" applyBorder="1" applyAlignment="1">
      <alignment horizontal="right"/>
    </xf>
    <xf numFmtId="0" fontId="20" fillId="16" borderId="23" xfId="1" applyNumberFormat="1" applyFont="1" applyFill="1" applyBorder="1"/>
    <xf numFmtId="166" fontId="21" fillId="16" borderId="24" xfId="1" applyNumberFormat="1" applyFont="1" applyFill="1" applyBorder="1"/>
    <xf numFmtId="166" fontId="21" fillId="16" borderId="17" xfId="1" applyNumberFormat="1" applyFont="1" applyFill="1" applyBorder="1"/>
    <xf numFmtId="0" fontId="20" fillId="0" borderId="15" xfId="1" applyNumberFormat="1" applyFont="1" applyBorder="1" applyAlignment="1">
      <alignment horizontal="right"/>
    </xf>
    <xf numFmtId="49" fontId="20" fillId="17" borderId="23" xfId="1" quotePrefix="1" applyNumberFormat="1" applyFont="1" applyFill="1" applyBorder="1"/>
    <xf numFmtId="167" fontId="20" fillId="17" borderId="24" xfId="2" quotePrefix="1" applyNumberFormat="1" applyFont="1" applyFill="1" applyBorder="1"/>
    <xf numFmtId="167" fontId="20" fillId="17" borderId="17" xfId="2" quotePrefix="1" applyNumberFormat="1" applyFont="1" applyFill="1" applyBorder="1"/>
    <xf numFmtId="164" fontId="20" fillId="0" borderId="0" xfId="3" applyNumberFormat="1" applyFont="1"/>
    <xf numFmtId="49" fontId="21" fillId="0" borderId="23" xfId="1" quotePrefix="1" applyNumberFormat="1" applyFont="1" applyBorder="1" applyAlignment="1">
      <alignment horizontal="right"/>
    </xf>
    <xf numFmtId="167" fontId="21" fillId="0" borderId="24" xfId="2" quotePrefix="1" applyNumberFormat="1" applyFont="1" applyBorder="1"/>
    <xf numFmtId="167" fontId="21" fillId="18" borderId="17" xfId="2" quotePrefix="1" applyNumberFormat="1" applyFont="1" applyFill="1" applyBorder="1"/>
    <xf numFmtId="164" fontId="21" fillId="0" borderId="0" xfId="3" applyNumberFormat="1" applyFont="1"/>
    <xf numFmtId="0" fontId="21" fillId="0" borderId="23" xfId="1" quotePrefix="1" applyNumberFormat="1" applyFont="1" applyBorder="1" applyAlignment="1">
      <alignment horizontal="right"/>
    </xf>
    <xf numFmtId="49" fontId="20" fillId="0" borderId="23" xfId="1" quotePrefix="1" applyNumberFormat="1" applyFont="1" applyFill="1" applyBorder="1"/>
    <xf numFmtId="167" fontId="20" fillId="0" borderId="24" xfId="2" quotePrefix="1" applyNumberFormat="1" applyFont="1" applyFill="1" applyBorder="1"/>
    <xf numFmtId="0" fontId="20" fillId="0" borderId="23" xfId="1" applyNumberFormat="1" applyFont="1" applyFill="1" applyBorder="1"/>
    <xf numFmtId="167" fontId="20" fillId="0" borderId="17" xfId="2" quotePrefix="1" applyNumberFormat="1" applyFont="1" applyFill="1" applyBorder="1"/>
    <xf numFmtId="167" fontId="20" fillId="16" borderId="24" xfId="1" applyNumberFormat="1" applyFont="1" applyFill="1" applyBorder="1"/>
    <xf numFmtId="0" fontId="21" fillId="0" borderId="15" xfId="1" applyNumberFormat="1" applyFont="1" applyFill="1" applyBorder="1" applyAlignment="1">
      <alignment horizontal="right"/>
    </xf>
    <xf numFmtId="0" fontId="21" fillId="0" borderId="23" xfId="1" quotePrefix="1" applyNumberFormat="1" applyFont="1" applyFill="1" applyBorder="1" applyAlignment="1">
      <alignment horizontal="right"/>
    </xf>
    <xf numFmtId="167" fontId="21" fillId="0" borderId="24" xfId="2" quotePrefix="1" applyNumberFormat="1" applyFont="1" applyFill="1" applyBorder="1"/>
    <xf numFmtId="167" fontId="21" fillId="0" borderId="17" xfId="2" quotePrefix="1" applyNumberFormat="1" applyFont="1" applyFill="1" applyBorder="1"/>
    <xf numFmtId="164" fontId="21" fillId="0" borderId="0" xfId="3" applyNumberFormat="1" applyFont="1" applyFill="1"/>
    <xf numFmtId="166" fontId="21" fillId="0" borderId="0" xfId="1" applyNumberFormat="1" applyFont="1" applyFill="1"/>
    <xf numFmtId="49" fontId="20" fillId="0" borderId="23" xfId="1" quotePrefix="1" applyNumberFormat="1" applyFont="1" applyFill="1" applyBorder="1" applyAlignment="1">
      <alignment horizontal="right"/>
    </xf>
    <xf numFmtId="49" fontId="21" fillId="0" borderId="23" xfId="1" quotePrefix="1" applyNumberFormat="1" applyFont="1" applyFill="1" applyBorder="1" applyAlignment="1">
      <alignment horizontal="right"/>
    </xf>
    <xf numFmtId="0" fontId="20" fillId="17" borderId="23" xfId="1" applyNumberFormat="1" applyFont="1" applyFill="1" applyBorder="1"/>
    <xf numFmtId="0" fontId="20" fillId="16" borderId="23" xfId="1" applyNumberFormat="1" applyFont="1" applyFill="1" applyBorder="1" applyAlignment="1">
      <alignment horizontal="left"/>
    </xf>
    <xf numFmtId="167" fontId="20" fillId="16" borderId="24" xfId="2" quotePrefix="1" applyNumberFormat="1" applyFont="1" applyFill="1" applyBorder="1"/>
    <xf numFmtId="0" fontId="20" fillId="11" borderId="23" xfId="1" applyNumberFormat="1" applyFont="1" applyFill="1" applyBorder="1"/>
    <xf numFmtId="167" fontId="21" fillId="11" borderId="24" xfId="1" applyNumberFormat="1" applyFont="1" applyFill="1" applyBorder="1"/>
    <xf numFmtId="167" fontId="21" fillId="11" borderId="17" xfId="1" applyNumberFormat="1" applyFont="1" applyFill="1" applyBorder="1"/>
    <xf numFmtId="164" fontId="20" fillId="0" borderId="0" xfId="3" applyNumberFormat="1" applyFont="1" applyFill="1"/>
    <xf numFmtId="0" fontId="21" fillId="0" borderId="23" xfId="1" applyNumberFormat="1" applyFont="1" applyFill="1" applyBorder="1" applyAlignment="1">
      <alignment horizontal="right"/>
    </xf>
    <xf numFmtId="49" fontId="21" fillId="0" borderId="23" xfId="1" applyNumberFormat="1" applyFont="1" applyFill="1" applyBorder="1" applyAlignment="1">
      <alignment horizontal="right"/>
    </xf>
    <xf numFmtId="49" fontId="21" fillId="0" borderId="23" xfId="1" applyNumberFormat="1" applyFont="1" applyBorder="1" applyAlignment="1">
      <alignment horizontal="right"/>
    </xf>
    <xf numFmtId="0" fontId="20" fillId="0" borderId="23" xfId="1" applyNumberFormat="1" applyFont="1" applyFill="1" applyBorder="1" applyAlignment="1">
      <alignment horizontal="left"/>
    </xf>
    <xf numFmtId="0" fontId="21" fillId="0" borderId="23" xfId="1" applyNumberFormat="1" applyFont="1" applyBorder="1"/>
    <xf numFmtId="167" fontId="21" fillId="0" borderId="24" xfId="1" applyNumberFormat="1" applyFont="1" applyBorder="1"/>
    <xf numFmtId="167" fontId="21" fillId="0" borderId="17" xfId="1" applyNumberFormat="1" applyFont="1" applyBorder="1"/>
    <xf numFmtId="0" fontId="20" fillId="5" borderId="15" xfId="1" applyNumberFormat="1" applyFont="1" applyFill="1" applyBorder="1" applyAlignment="1">
      <alignment horizontal="right"/>
    </xf>
    <xf numFmtId="0" fontId="20" fillId="5" borderId="23" xfId="1" applyNumberFormat="1" applyFont="1" applyFill="1" applyBorder="1"/>
    <xf numFmtId="167" fontId="20" fillId="5" borderId="24" xfId="2" applyNumberFormat="1" applyFont="1" applyFill="1" applyBorder="1"/>
    <xf numFmtId="166" fontId="20" fillId="5" borderId="0" xfId="1" applyNumberFormat="1" applyFont="1" applyFill="1"/>
    <xf numFmtId="0" fontId="20" fillId="5" borderId="25" xfId="1" applyNumberFormat="1" applyFont="1" applyFill="1" applyBorder="1"/>
    <xf numFmtId="167" fontId="20" fillId="18" borderId="17" xfId="2" quotePrefix="1" applyNumberFormat="1" applyFont="1" applyFill="1" applyBorder="1"/>
    <xf numFmtId="0" fontId="20" fillId="16" borderId="26" xfId="1" applyNumberFormat="1" applyFont="1" applyFill="1" applyBorder="1" applyAlignment="1">
      <alignment horizontal="left"/>
    </xf>
    <xf numFmtId="167" fontId="20" fillId="16" borderId="27" xfId="2" quotePrefix="1" applyNumberFormat="1" applyFont="1" applyFill="1" applyBorder="1"/>
    <xf numFmtId="0" fontId="20" fillId="0" borderId="23" xfId="1" applyNumberFormat="1" applyFont="1" applyBorder="1"/>
    <xf numFmtId="167" fontId="20" fillId="0" borderId="24" xfId="2" quotePrefix="1" applyNumberFormat="1" applyFont="1" applyBorder="1"/>
    <xf numFmtId="167" fontId="20" fillId="0" borderId="17" xfId="2" quotePrefix="1" applyNumberFormat="1" applyFont="1" applyBorder="1"/>
    <xf numFmtId="0" fontId="20" fillId="2" borderId="23" xfId="1" applyNumberFormat="1" applyFont="1" applyFill="1" applyBorder="1" applyAlignment="1">
      <alignment horizontal="left"/>
    </xf>
    <xf numFmtId="167" fontId="20" fillId="2" borderId="24" xfId="3" quotePrefix="1" applyNumberFormat="1" applyFont="1" applyFill="1" applyBorder="1"/>
    <xf numFmtId="167" fontId="20" fillId="2" borderId="17" xfId="3" quotePrefix="1" applyNumberFormat="1" applyFont="1" applyFill="1" applyBorder="1"/>
    <xf numFmtId="0" fontId="21" fillId="0" borderId="23" xfId="1" applyNumberFormat="1" applyFont="1" applyBorder="1" applyAlignment="1">
      <alignment horizontal="right"/>
    </xf>
    <xf numFmtId="164" fontId="21" fillId="0" borderId="24" xfId="3" quotePrefix="1" applyNumberFormat="1" applyFont="1" applyBorder="1"/>
    <xf numFmtId="164" fontId="21" fillId="0" borderId="17" xfId="3" quotePrefix="1" applyNumberFormat="1" applyFont="1" applyBorder="1"/>
    <xf numFmtId="0" fontId="21" fillId="0" borderId="20" xfId="1" applyNumberFormat="1" applyFont="1" applyBorder="1" applyAlignment="1">
      <alignment horizontal="right"/>
    </xf>
    <xf numFmtId="0" fontId="21" fillId="0" borderId="28" xfId="1" applyNumberFormat="1" applyFont="1" applyBorder="1" applyAlignment="1">
      <alignment horizontal="right"/>
    </xf>
    <xf numFmtId="164" fontId="21" fillId="0" borderId="29" xfId="3" quotePrefix="1" applyNumberFormat="1" applyFont="1" applyBorder="1"/>
    <xf numFmtId="164" fontId="21" fillId="0" borderId="30" xfId="3" quotePrefix="1" applyNumberFormat="1" applyFont="1" applyBorder="1"/>
    <xf numFmtId="166" fontId="21" fillId="0" borderId="0" xfId="1" applyNumberFormat="1" applyFont="1" applyBorder="1"/>
    <xf numFmtId="0" fontId="21" fillId="0" borderId="0" xfId="1" applyNumberFormat="1" applyFont="1"/>
    <xf numFmtId="0" fontId="0" fillId="0" borderId="0" xfId="1" applyNumberFormat="1" applyFont="1" applyAlignment="1">
      <alignment horizontal="right"/>
    </xf>
    <xf numFmtId="0" fontId="0" fillId="0" borderId="0" xfId="1" applyNumberFormat="1" applyFont="1"/>
    <xf numFmtId="0" fontId="19" fillId="0" borderId="0" xfId="1" applyNumberFormat="1" applyFont="1" applyAlignment="1">
      <alignment horizontal="right"/>
    </xf>
    <xf numFmtId="0" fontId="19" fillId="9" borderId="0" xfId="1" applyNumberFormat="1" applyFont="1" applyFill="1"/>
    <xf numFmtId="166" fontId="19" fillId="9" borderId="0" xfId="1" applyNumberFormat="1" applyFont="1" applyFill="1"/>
    <xf numFmtId="166" fontId="19" fillId="0" borderId="0" xfId="1" applyNumberFormat="1" applyFont="1"/>
    <xf numFmtId="0" fontId="19" fillId="0" borderId="0" xfId="1" applyNumberFormat="1" applyFont="1"/>
    <xf numFmtId="0" fontId="20" fillId="0" borderId="14" xfId="1" applyNumberFormat="1" applyFont="1" applyBorder="1"/>
    <xf numFmtId="0" fontId="20" fillId="11" borderId="2" xfId="1" applyNumberFormat="1" applyFont="1" applyFill="1" applyBorder="1"/>
    <xf numFmtId="0" fontId="23" fillId="0" borderId="0" xfId="1" applyNumberFormat="1" applyFont="1" applyBorder="1"/>
    <xf numFmtId="0" fontId="20" fillId="11" borderId="3" xfId="1" applyNumberFormat="1" applyFont="1" applyFill="1" applyBorder="1"/>
    <xf numFmtId="0" fontId="0" fillId="5" borderId="0" xfId="0" applyFont="1" applyFill="1" applyBorder="1" applyAlignment="1">
      <alignment horizontal="left"/>
    </xf>
    <xf numFmtId="0" fontId="0" fillId="5" borderId="4" xfId="0" applyFont="1" applyFill="1" applyBorder="1" applyAlignment="1">
      <alignment horizontal="left" wrapText="1"/>
    </xf>
    <xf numFmtId="165" fontId="0" fillId="5" borderId="4" xfId="3" applyNumberFormat="1" applyFont="1" applyFill="1" applyBorder="1"/>
    <xf numFmtId="0" fontId="11" fillId="5" borderId="0" xfId="5" applyFont="1" applyFill="1" applyAlignment="1">
      <alignment horizontal="center"/>
    </xf>
    <xf numFmtId="0" fontId="20" fillId="0" borderId="0" xfId="5" applyFont="1" applyAlignment="1"/>
    <xf numFmtId="0" fontId="5" fillId="5" borderId="0" xfId="5" applyFill="1" applyAlignment="1">
      <alignment wrapText="1"/>
    </xf>
    <xf numFmtId="0" fontId="5" fillId="0" borderId="0" xfId="5" applyAlignment="1">
      <alignment horizontal="left" wrapText="1"/>
    </xf>
    <xf numFmtId="0" fontId="6" fillId="5" borderId="0" xfId="5" applyFont="1" applyFill="1" applyAlignment="1">
      <alignment wrapText="1"/>
    </xf>
    <xf numFmtId="0" fontId="6" fillId="0" borderId="4" xfId="5" applyFont="1" applyBorder="1" applyAlignment="1">
      <alignment horizontal="center" vertical="center" wrapText="1"/>
    </xf>
    <xf numFmtId="44" fontId="6" fillId="0" borderId="4" xfId="3" applyNumberFormat="1" applyFont="1" applyFill="1" applyBorder="1" applyAlignment="1">
      <alignment horizontal="center" wrapText="1"/>
    </xf>
    <xf numFmtId="165" fontId="5" fillId="0" borderId="4" xfId="3" applyNumberFormat="1" applyFont="1" applyFill="1" applyBorder="1"/>
    <xf numFmtId="164" fontId="5" fillId="0" borderId="4" xfId="3" applyNumberFormat="1" applyFont="1" applyFill="1" applyBorder="1"/>
    <xf numFmtId="165" fontId="26" fillId="3" borderId="4" xfId="3" applyNumberFormat="1" applyFont="1" applyFill="1" applyBorder="1"/>
    <xf numFmtId="164" fontId="26" fillId="3" borderId="4" xfId="3" applyNumberFormat="1" applyFont="1" applyFill="1" applyBorder="1"/>
    <xf numFmtId="44" fontId="5" fillId="0" borderId="4" xfId="2" applyFont="1" applyBorder="1"/>
    <xf numFmtId="44" fontId="5" fillId="3" borderId="4" xfId="2" applyFont="1" applyFill="1" applyBorder="1"/>
    <xf numFmtId="44" fontId="5" fillId="5" borderId="0" xfId="2" applyFont="1" applyFill="1" applyBorder="1"/>
    <xf numFmtId="0" fontId="5" fillId="11" borderId="31" xfId="5" applyFill="1" applyBorder="1" applyAlignment="1">
      <alignment wrapText="1"/>
    </xf>
    <xf numFmtId="44" fontId="6" fillId="11" borderId="32" xfId="2" applyFont="1" applyFill="1" applyBorder="1" applyAlignment="1">
      <alignment horizontal="center" wrapText="1"/>
    </xf>
    <xf numFmtId="44" fontId="6" fillId="11" borderId="33" xfId="2" applyFont="1" applyFill="1" applyBorder="1" applyAlignment="1">
      <alignment horizontal="center" wrapText="1"/>
    </xf>
    <xf numFmtId="0" fontId="6" fillId="0" borderId="0" xfId="5" applyFont="1" applyAlignment="1">
      <alignment wrapText="1"/>
    </xf>
    <xf numFmtId="10" fontId="6" fillId="0" borderId="0" xfId="5" applyNumberFormat="1" applyFont="1"/>
    <xf numFmtId="168" fontId="5" fillId="5" borderId="0" xfId="5" applyNumberFormat="1" applyFill="1"/>
    <xf numFmtId="166" fontId="6" fillId="0" borderId="0" xfId="5" applyNumberFormat="1" applyFont="1"/>
    <xf numFmtId="166" fontId="6" fillId="5" borderId="0" xfId="5" applyNumberFormat="1" applyFont="1" applyFill="1"/>
    <xf numFmtId="0" fontId="6" fillId="5" borderId="0" xfId="5" applyFont="1" applyFill="1"/>
    <xf numFmtId="0" fontId="7" fillId="9" borderId="0" xfId="0" applyFont="1" applyFill="1"/>
    <xf numFmtId="165" fontId="6" fillId="0" borderId="4" xfId="2" applyNumberFormat="1" applyFont="1" applyBorder="1"/>
    <xf numFmtId="165" fontId="6" fillId="3" borderId="4" xfId="2" applyNumberFormat="1" applyFont="1" applyFill="1" applyBorder="1" applyAlignment="1">
      <alignment wrapText="1"/>
    </xf>
    <xf numFmtId="0" fontId="6" fillId="11" borderId="23" xfId="5" applyFont="1" applyFill="1" applyBorder="1" applyAlignment="1">
      <alignment wrapText="1"/>
    </xf>
    <xf numFmtId="0" fontId="6" fillId="11" borderId="28" xfId="5" applyFont="1" applyFill="1" applyBorder="1" applyAlignment="1">
      <alignment horizontal="left" wrapText="1" indent="3"/>
    </xf>
    <xf numFmtId="44" fontId="5" fillId="17" borderId="34" xfId="2" applyFont="1" applyFill="1" applyBorder="1" applyAlignment="1">
      <alignment horizontal="center" wrapText="1"/>
    </xf>
    <xf numFmtId="44" fontId="5" fillId="17" borderId="35" xfId="2" applyFont="1" applyFill="1" applyBorder="1" applyAlignment="1">
      <alignment horizontal="center" wrapText="1"/>
    </xf>
    <xf numFmtId="44" fontId="0" fillId="0" borderId="4" xfId="2" applyFont="1" applyBorder="1" applyAlignment="1">
      <alignment horizontal="center" wrapText="1"/>
    </xf>
    <xf numFmtId="0" fontId="27" fillId="19" borderId="4" xfId="0" applyFont="1" applyFill="1" applyBorder="1" applyAlignment="1">
      <alignment wrapText="1"/>
    </xf>
    <xf numFmtId="9" fontId="27" fillId="19" borderId="4" xfId="3" applyFont="1" applyFill="1" applyBorder="1" applyAlignment="1">
      <alignment horizontal="center"/>
    </xf>
    <xf numFmtId="44" fontId="27" fillId="19" borderId="4" xfId="2" applyFont="1" applyFill="1" applyBorder="1" applyAlignment="1">
      <alignment horizontal="center"/>
    </xf>
    <xf numFmtId="9" fontId="27" fillId="19" borderId="4" xfId="3" applyFont="1" applyFill="1" applyBorder="1" applyAlignment="1">
      <alignment horizontal="center" wrapText="1"/>
    </xf>
    <xf numFmtId="164" fontId="27" fillId="19" borderId="4" xfId="3" applyNumberFormat="1" applyFont="1" applyFill="1" applyBorder="1" applyAlignment="1">
      <alignment horizontal="center"/>
    </xf>
    <xf numFmtId="0" fontId="18" fillId="0" borderId="0" xfId="0" applyFont="1" applyAlignment="1">
      <alignment horizontal="center"/>
    </xf>
    <xf numFmtId="0" fontId="12" fillId="0" borderId="0" xfId="5" applyFont="1" applyFill="1" applyBorder="1" applyAlignment="1">
      <alignment horizontal="center"/>
    </xf>
    <xf numFmtId="0" fontId="6" fillId="0" borderId="1" xfId="5" applyFont="1" applyBorder="1" applyAlignment="1">
      <alignment horizontal="center" wrapText="1"/>
    </xf>
    <xf numFmtId="0" fontId="0" fillId="9" borderId="0" xfId="0" applyFill="1" applyAlignment="1">
      <alignment horizontal="center"/>
    </xf>
    <xf numFmtId="0" fontId="22" fillId="0" borderId="23" xfId="1" applyNumberFormat="1" applyFont="1" applyFill="1" applyBorder="1" applyAlignment="1">
      <alignment horizontal="center"/>
    </xf>
    <xf numFmtId="0" fontId="22" fillId="0" borderId="0" xfId="1" applyNumberFormat="1" applyFont="1" applyFill="1" applyBorder="1" applyAlignment="1">
      <alignment horizontal="center"/>
    </xf>
    <xf numFmtId="0" fontId="5" fillId="0" borderId="0" xfId="5" applyFill="1" applyBorder="1"/>
    <xf numFmtId="0" fontId="3" fillId="0" borderId="0" xfId="5" applyFont="1" applyFill="1" applyBorder="1" applyAlignment="1">
      <alignment horizontal="center"/>
    </xf>
    <xf numFmtId="0" fontId="5" fillId="0" borderId="0" xfId="5" applyFont="1" applyFill="1" applyBorder="1"/>
    <xf numFmtId="0" fontId="2" fillId="0" borderId="15" xfId="0" applyFont="1" applyBorder="1"/>
    <xf numFmtId="0" fontId="3" fillId="0" borderId="40" xfId="0" applyFont="1" applyBorder="1" applyAlignment="1">
      <alignment horizontal="left" indent="3"/>
    </xf>
    <xf numFmtId="44" fontId="2" fillId="0" borderId="39" xfId="2" applyFont="1" applyBorder="1"/>
    <xf numFmtId="0" fontId="3" fillId="0" borderId="19" xfId="0" applyFont="1" applyBorder="1" applyAlignment="1">
      <alignment horizontal="center" vertical="center"/>
    </xf>
    <xf numFmtId="0" fontId="3" fillId="0" borderId="18" xfId="0" applyFont="1" applyBorder="1" applyAlignment="1">
      <alignment horizontal="center"/>
    </xf>
    <xf numFmtId="0" fontId="3" fillId="0" borderId="7" xfId="0" applyFont="1" applyBorder="1" applyAlignment="1">
      <alignment horizontal="center"/>
    </xf>
    <xf numFmtId="165" fontId="2" fillId="0" borderId="24" xfId="0" applyNumberFormat="1" applyFont="1" applyBorder="1"/>
    <xf numFmtId="0" fontId="3" fillId="0" borderId="16" xfId="0" applyFont="1" applyBorder="1" applyAlignment="1">
      <alignment horizontal="center" vertical="center"/>
    </xf>
    <xf numFmtId="0" fontId="3" fillId="0" borderId="41" xfId="0" applyFont="1" applyBorder="1" applyAlignment="1">
      <alignment horizontal="center" vertical="center"/>
    </xf>
    <xf numFmtId="164" fontId="27" fillId="0" borderId="0" xfId="3" applyNumberFormat="1" applyFont="1" applyBorder="1" applyAlignment="1">
      <alignment horizontal="left"/>
    </xf>
    <xf numFmtId="9" fontId="5" fillId="6" borderId="4" xfId="3" applyFont="1" applyFill="1" applyBorder="1"/>
    <xf numFmtId="167" fontId="5" fillId="6" borderId="4" xfId="2" applyNumberFormat="1" applyFont="1" applyFill="1" applyBorder="1"/>
    <xf numFmtId="167" fontId="5" fillId="0" borderId="4" xfId="2" applyNumberFormat="1" applyFont="1" applyBorder="1"/>
    <xf numFmtId="165" fontId="0" fillId="3" borderId="4" xfId="3" applyNumberFormat="1" applyFont="1" applyFill="1" applyBorder="1" applyProtection="1">
      <protection locked="0"/>
    </xf>
    <xf numFmtId="165" fontId="0" fillId="0" borderId="4" xfId="3" applyNumberFormat="1" applyFont="1" applyFill="1" applyBorder="1" applyProtection="1">
      <protection locked="0"/>
    </xf>
    <xf numFmtId="165" fontId="0" fillId="0" borderId="4" xfId="2" applyNumberFormat="1" applyFont="1" applyFill="1" applyBorder="1" applyProtection="1">
      <protection locked="0"/>
    </xf>
    <xf numFmtId="165" fontId="0" fillId="0" borderId="4" xfId="1" applyNumberFormat="1" applyFont="1" applyBorder="1" applyProtection="1">
      <protection locked="0"/>
    </xf>
    <xf numFmtId="165" fontId="0" fillId="0" borderId="4" xfId="1" quotePrefix="1" applyNumberFormat="1" applyFont="1" applyBorder="1" applyAlignment="1" applyProtection="1">
      <alignment horizontal="right"/>
      <protection locked="0"/>
    </xf>
    <xf numFmtId="44" fontId="5" fillId="0" borderId="0" xfId="5" applyNumberFormat="1"/>
    <xf numFmtId="166" fontId="31" fillId="3" borderId="4" xfId="1" applyNumberFormat="1" applyFont="1" applyFill="1" applyBorder="1"/>
    <xf numFmtId="165" fontId="31" fillId="3" borderId="4" xfId="2" applyNumberFormat="1" applyFont="1" applyFill="1" applyBorder="1" applyProtection="1">
      <protection locked="0"/>
    </xf>
    <xf numFmtId="165" fontId="19" fillId="0" borderId="0" xfId="0" applyNumberFormat="1" applyFont="1"/>
    <xf numFmtId="165" fontId="0" fillId="5" borderId="0" xfId="3" applyNumberFormat="1" applyFont="1" applyFill="1" applyBorder="1"/>
    <xf numFmtId="165" fontId="19" fillId="5" borderId="0" xfId="3" applyNumberFormat="1" applyFont="1" applyFill="1" applyBorder="1"/>
    <xf numFmtId="166" fontId="0" fillId="0" borderId="4" xfId="1" applyNumberFormat="1" applyFont="1" applyFill="1" applyBorder="1" applyProtection="1">
      <protection locked="0"/>
    </xf>
    <xf numFmtId="166" fontId="31" fillId="0" borderId="4" xfId="1" applyNumberFormat="1" applyFont="1" applyFill="1" applyBorder="1" applyProtection="1">
      <protection locked="0"/>
    </xf>
    <xf numFmtId="166" fontId="0" fillId="0" borderId="4" xfId="1" quotePrefix="1" applyNumberFormat="1" applyFont="1" applyBorder="1" applyAlignment="1" applyProtection="1">
      <alignment horizontal="right"/>
      <protection locked="0"/>
    </xf>
    <xf numFmtId="165" fontId="31" fillId="0" borderId="4" xfId="3" applyNumberFormat="1" applyFont="1" applyFill="1" applyBorder="1" applyProtection="1">
      <protection locked="0"/>
    </xf>
    <xf numFmtId="0" fontId="19" fillId="0" borderId="0" xfId="0" applyFont="1"/>
    <xf numFmtId="166" fontId="5" fillId="3" borderId="4" xfId="1" applyNumberFormat="1" applyFont="1" applyFill="1" applyBorder="1"/>
    <xf numFmtId="43" fontId="5" fillId="17" borderId="34" xfId="1" applyFont="1" applyFill="1" applyBorder="1" applyAlignment="1">
      <alignment horizontal="center" wrapText="1"/>
    </xf>
    <xf numFmtId="166" fontId="5" fillId="11" borderId="0" xfId="1" applyNumberFormat="1" applyFont="1" applyFill="1" applyBorder="1"/>
    <xf numFmtId="166" fontId="5" fillId="11" borderId="14" xfId="1" applyNumberFormat="1" applyFont="1" applyFill="1" applyBorder="1"/>
    <xf numFmtId="10" fontId="5" fillId="11" borderId="0" xfId="3" applyNumberFormat="1" applyFont="1" applyFill="1" applyBorder="1"/>
    <xf numFmtId="10" fontId="5" fillId="11" borderId="14" xfId="3" applyNumberFormat="1" applyFont="1" applyFill="1" applyBorder="1"/>
    <xf numFmtId="165" fontId="5" fillId="11" borderId="36" xfId="2" applyNumberFormat="1" applyFont="1" applyFill="1" applyBorder="1"/>
    <xf numFmtId="165" fontId="5" fillId="11" borderId="37" xfId="2" applyNumberFormat="1" applyFont="1" applyFill="1" applyBorder="1"/>
    <xf numFmtId="167" fontId="5" fillId="0" borderId="0" xfId="5" applyNumberFormat="1"/>
    <xf numFmtId="166" fontId="5" fillId="0" borderId="0" xfId="1" applyNumberFormat="1" applyFont="1"/>
    <xf numFmtId="9" fontId="0" fillId="0" borderId="0" xfId="3" applyFont="1"/>
    <xf numFmtId="43" fontId="0" fillId="0" borderId="0" xfId="1" applyFont="1"/>
    <xf numFmtId="0" fontId="33" fillId="0" borderId="0" xfId="5" applyFont="1" applyAlignment="1">
      <alignment horizontal="left"/>
    </xf>
    <xf numFmtId="166" fontId="2" fillId="0" borderId="0" xfId="1" applyNumberFormat="1" applyFont="1"/>
    <xf numFmtId="166" fontId="35" fillId="0" borderId="12" xfId="1" applyNumberFormat="1" applyFont="1" applyBorder="1"/>
    <xf numFmtId="0" fontId="35" fillId="0" borderId="12" xfId="5" applyFont="1" applyBorder="1"/>
    <xf numFmtId="0" fontId="35" fillId="0" borderId="13" xfId="5" applyFont="1" applyBorder="1"/>
    <xf numFmtId="0" fontId="0" fillId="0" borderId="0" xfId="5" applyFont="1"/>
    <xf numFmtId="165" fontId="35" fillId="0" borderId="12" xfId="2" applyNumberFormat="1" applyFont="1" applyBorder="1"/>
    <xf numFmtId="0" fontId="31" fillId="0" borderId="0" xfId="5" applyFont="1"/>
    <xf numFmtId="165" fontId="2" fillId="0" borderId="0" xfId="2" applyNumberFormat="1" applyFont="1"/>
    <xf numFmtId="165" fontId="2" fillId="0" borderId="0" xfId="2" applyNumberFormat="1" applyFont="1" applyBorder="1"/>
    <xf numFmtId="165" fontId="2" fillId="0" borderId="17" xfId="2" applyNumberFormat="1" applyFont="1" applyBorder="1"/>
    <xf numFmtId="165" fontId="2" fillId="0" borderId="14" xfId="2" applyNumberFormat="1" applyFont="1" applyBorder="1"/>
    <xf numFmtId="165" fontId="2" fillId="0" borderId="10" xfId="2" applyNumberFormat="1" applyFont="1" applyBorder="1"/>
    <xf numFmtId="0" fontId="37" fillId="0" borderId="15" xfId="0" applyFont="1" applyBorder="1"/>
    <xf numFmtId="0" fontId="37" fillId="0" borderId="20" xfId="0" applyFont="1" applyBorder="1"/>
    <xf numFmtId="165" fontId="2" fillId="0" borderId="27" xfId="2" applyNumberFormat="1" applyFont="1" applyBorder="1"/>
    <xf numFmtId="165" fontId="2" fillId="0" borderId="40" xfId="2" applyNumberFormat="1" applyFont="1" applyBorder="1"/>
    <xf numFmtId="165" fontId="2" fillId="0" borderId="38" xfId="2" applyNumberFormat="1" applyFont="1" applyBorder="1"/>
    <xf numFmtId="165" fontId="2" fillId="0" borderId="39" xfId="2" applyNumberFormat="1" applyFont="1" applyBorder="1"/>
    <xf numFmtId="0" fontId="39" fillId="0" borderId="0" xfId="0" applyFont="1"/>
    <xf numFmtId="166" fontId="42" fillId="0" borderId="0" xfId="5" applyNumberFormat="1" applyFont="1"/>
    <xf numFmtId="165" fontId="5" fillId="3" borderId="4" xfId="5" applyNumberFormat="1" applyFill="1" applyBorder="1"/>
    <xf numFmtId="165" fontId="17" fillId="0" borderId="0" xfId="0" applyNumberFormat="1" applyFont="1"/>
    <xf numFmtId="0" fontId="37" fillId="0" borderId="15" xfId="0" applyFont="1" applyFill="1" applyBorder="1"/>
    <xf numFmtId="165" fontId="2" fillId="0" borderId="24" xfId="0" applyNumberFormat="1" applyFont="1" applyFill="1" applyBorder="1"/>
    <xf numFmtId="165" fontId="2" fillId="0" borderId="0" xfId="2" applyNumberFormat="1" applyFont="1" applyFill="1" applyBorder="1"/>
    <xf numFmtId="165" fontId="2" fillId="0" borderId="0" xfId="2" applyNumberFormat="1" applyFont="1" applyFill="1"/>
    <xf numFmtId="165" fontId="2" fillId="0" borderId="17" xfId="2" applyNumberFormat="1" applyFont="1" applyFill="1" applyBorder="1"/>
    <xf numFmtId="0" fontId="17" fillId="0" borderId="0" xfId="0" applyFont="1" applyFill="1"/>
    <xf numFmtId="0" fontId="5" fillId="9" borderId="4" xfId="5" applyFont="1" applyFill="1" applyBorder="1"/>
    <xf numFmtId="9" fontId="5" fillId="9" borderId="4" xfId="3" applyFont="1" applyFill="1" applyBorder="1"/>
    <xf numFmtId="167" fontId="5" fillId="9" borderId="4" xfId="2" applyNumberFormat="1" applyFont="1" applyFill="1" applyBorder="1"/>
    <xf numFmtId="164" fontId="6" fillId="0" borderId="4" xfId="3" applyNumberFormat="1" applyFont="1" applyBorder="1" applyAlignment="1">
      <alignment horizontal="center" wrapText="1"/>
    </xf>
    <xf numFmtId="164" fontId="5" fillId="0" borderId="4" xfId="3" applyNumberFormat="1" applyFont="1" applyBorder="1"/>
    <xf numFmtId="166" fontId="5" fillId="5" borderId="0" xfId="1" applyNumberFormat="1" applyFont="1" applyFill="1"/>
    <xf numFmtId="0" fontId="22" fillId="9" borderId="0" xfId="1" applyNumberFormat="1" applyFont="1" applyFill="1" applyBorder="1" applyAlignment="1">
      <alignment horizontal="center" wrapText="1"/>
    </xf>
    <xf numFmtId="164" fontId="0" fillId="0" borderId="0" xfId="3" applyNumberFormat="1" applyFont="1" applyBorder="1" applyAlignment="1">
      <alignment horizontal="left"/>
    </xf>
    <xf numFmtId="166" fontId="0" fillId="0" borderId="0" xfId="1" applyNumberFormat="1" applyFont="1" applyFill="1" applyBorder="1" applyAlignment="1">
      <alignment horizontal="center"/>
    </xf>
    <xf numFmtId="44" fontId="0" fillId="0" borderId="0" xfId="0" applyNumberFormat="1"/>
    <xf numFmtId="9" fontId="0" fillId="3" borderId="4" xfId="2" applyNumberFormat="1" applyFont="1" applyFill="1" applyBorder="1" applyAlignment="1">
      <alignment horizontal="center"/>
    </xf>
    <xf numFmtId="0" fontId="11" fillId="20" borderId="0" xfId="0" applyFont="1" applyFill="1"/>
    <xf numFmtId="9" fontId="0" fillId="0" borderId="4" xfId="3" applyFont="1" applyFill="1" applyBorder="1" applyAlignment="1">
      <alignment horizontal="center"/>
    </xf>
    <xf numFmtId="44" fontId="0" fillId="0" borderId="4" xfId="2" applyFont="1" applyFill="1" applyBorder="1" applyAlignment="1">
      <alignment horizontal="center"/>
    </xf>
    <xf numFmtId="164" fontId="0" fillId="0" borderId="4" xfId="3" applyNumberFormat="1" applyFont="1" applyFill="1" applyBorder="1" applyAlignment="1">
      <alignment horizontal="center"/>
    </xf>
    <xf numFmtId="166" fontId="0" fillId="0" borderId="4" xfId="1" applyNumberFormat="1" applyFont="1" applyFill="1" applyBorder="1" applyAlignment="1">
      <alignment horizontal="center"/>
    </xf>
    <xf numFmtId="0" fontId="19" fillId="0" borderId="4" xfId="0" applyFont="1" applyFill="1" applyBorder="1"/>
    <xf numFmtId="0" fontId="0" fillId="0" borderId="4" xfId="0" applyFont="1" applyFill="1" applyBorder="1" applyAlignment="1">
      <alignment wrapText="1"/>
    </xf>
    <xf numFmtId="166" fontId="41" fillId="0" borderId="4" xfId="1" applyNumberFormat="1" applyFont="1" applyFill="1" applyBorder="1"/>
    <xf numFmtId="166" fontId="0" fillId="0" borderId="4" xfId="1" applyNumberFormat="1" applyFont="1" applyFill="1" applyBorder="1" applyProtection="1"/>
    <xf numFmtId="0" fontId="0" fillId="0" borderId="0" xfId="0" applyFill="1"/>
    <xf numFmtId="0" fontId="7" fillId="0" borderId="0" xfId="0" applyFont="1" applyFill="1"/>
    <xf numFmtId="0" fontId="9" fillId="0" borderId="0" xfId="0" applyFont="1"/>
    <xf numFmtId="0" fontId="7" fillId="0" borderId="43" xfId="0" applyFont="1" applyBorder="1"/>
    <xf numFmtId="0" fontId="7" fillId="0" borderId="44" xfId="0" applyFont="1" applyBorder="1"/>
    <xf numFmtId="0" fontId="11" fillId="0" borderId="44" xfId="0" applyFont="1" applyBorder="1" applyAlignment="1">
      <alignment horizontal="right"/>
    </xf>
    <xf numFmtId="0" fontId="11" fillId="0" borderId="44" xfId="0" applyFont="1" applyFill="1" applyBorder="1" applyAlignment="1">
      <alignment horizontal="right"/>
    </xf>
    <xf numFmtId="0" fontId="9" fillId="0" borderId="45" xfId="0" applyFont="1" applyBorder="1"/>
    <xf numFmtId="0" fontId="7" fillId="0" borderId="46" xfId="0" applyFont="1" applyBorder="1"/>
    <xf numFmtId="0" fontId="7" fillId="0" borderId="4" xfId="0" applyFont="1" applyBorder="1"/>
    <xf numFmtId="0" fontId="9" fillId="0" borderId="47" xfId="0" applyFont="1" applyBorder="1"/>
    <xf numFmtId="0" fontId="11" fillId="0" borderId="4" xfId="0" applyFont="1" applyBorder="1"/>
    <xf numFmtId="9" fontId="7" fillId="0" borderId="4" xfId="0" applyNumberFormat="1" applyFont="1" applyBorder="1"/>
    <xf numFmtId="9" fontId="7" fillId="0" borderId="4" xfId="3" applyFont="1" applyBorder="1"/>
    <xf numFmtId="10" fontId="9" fillId="0" borderId="47" xfId="0" applyNumberFormat="1" applyFont="1" applyBorder="1"/>
    <xf numFmtId="9" fontId="7" fillId="0" borderId="4" xfId="3" applyNumberFormat="1" applyFont="1" applyBorder="1"/>
    <xf numFmtId="166" fontId="7" fillId="0" borderId="4" xfId="1" applyNumberFormat="1" applyFont="1" applyBorder="1"/>
    <xf numFmtId="166" fontId="9" fillId="0" borderId="47" xfId="0" applyNumberFormat="1" applyFont="1" applyBorder="1"/>
    <xf numFmtId="166" fontId="7" fillId="0" borderId="4" xfId="0" applyNumberFormat="1" applyFont="1" applyBorder="1"/>
    <xf numFmtId="0" fontId="7" fillId="12" borderId="4" xfId="0" applyFont="1" applyFill="1" applyBorder="1"/>
    <xf numFmtId="0" fontId="48" fillId="9" borderId="0" xfId="0" applyFont="1" applyFill="1"/>
    <xf numFmtId="9" fontId="48" fillId="9" borderId="0" xfId="0" applyNumberFormat="1" applyFont="1" applyFill="1"/>
    <xf numFmtId="166" fontId="7" fillId="0" borderId="4" xfId="1" applyNumberFormat="1" applyFont="1" applyFill="1" applyBorder="1"/>
    <xf numFmtId="166" fontId="7" fillId="0" borderId="0" xfId="0" applyNumberFormat="1" applyFont="1"/>
    <xf numFmtId="166" fontId="7" fillId="0" borderId="4" xfId="0" applyNumberFormat="1" applyFont="1" applyFill="1" applyBorder="1"/>
    <xf numFmtId="166" fontId="7" fillId="0" borderId="0" xfId="1" applyNumberFormat="1" applyFont="1"/>
    <xf numFmtId="0" fontId="7" fillId="0" borderId="48" xfId="0" applyFont="1" applyBorder="1"/>
    <xf numFmtId="0" fontId="11" fillId="0" borderId="27" xfId="0" applyFont="1" applyBorder="1"/>
    <xf numFmtId="0" fontId="7" fillId="0" borderId="27" xfId="0" applyFont="1" applyBorder="1"/>
    <xf numFmtId="166" fontId="9" fillId="0" borderId="49" xfId="0" applyNumberFormat="1" applyFont="1" applyBorder="1"/>
    <xf numFmtId="0" fontId="49" fillId="9" borderId="44" xfId="0" applyFont="1" applyFill="1" applyBorder="1"/>
    <xf numFmtId="10" fontId="49" fillId="9" borderId="44" xfId="3" applyNumberFormat="1" applyFont="1" applyFill="1" applyBorder="1"/>
    <xf numFmtId="0" fontId="11" fillId="0" borderId="43" xfId="0" applyFont="1" applyBorder="1" applyAlignment="1">
      <alignment horizontal="right"/>
    </xf>
    <xf numFmtId="0" fontId="7" fillId="0" borderId="45" xfId="0" applyFont="1" applyBorder="1"/>
    <xf numFmtId="0" fontId="11" fillId="0" borderId="4" xfId="0" applyFont="1" applyBorder="1" applyAlignment="1">
      <alignment horizontal="right"/>
    </xf>
    <xf numFmtId="0" fontId="11" fillId="0" borderId="4" xfId="0" applyFont="1" applyFill="1" applyBorder="1" applyAlignment="1">
      <alignment horizontal="right"/>
    </xf>
    <xf numFmtId="0" fontId="11" fillId="0" borderId="47" xfId="0" applyFont="1" applyFill="1" applyBorder="1" applyAlignment="1">
      <alignment horizontal="right"/>
    </xf>
    <xf numFmtId="0" fontId="50" fillId="0" borderId="4" xfId="0" applyFont="1" applyFill="1" applyBorder="1" applyAlignment="1">
      <alignment horizontal="right"/>
    </xf>
    <xf numFmtId="0" fontId="51" fillId="0" borderId="4" xfId="0" applyFont="1" applyFill="1" applyBorder="1"/>
    <xf numFmtId="0" fontId="9" fillId="0" borderId="47" xfId="0" applyFont="1" applyFill="1" applyBorder="1"/>
    <xf numFmtId="0" fontId="7" fillId="0" borderId="47" xfId="0" applyFont="1" applyBorder="1"/>
    <xf numFmtId="0" fontId="7" fillId="9" borderId="46" xfId="0" applyFont="1" applyFill="1" applyBorder="1"/>
    <xf numFmtId="0" fontId="11" fillId="9" borderId="4" xfId="0" applyFont="1" applyFill="1" applyBorder="1"/>
    <xf numFmtId="166" fontId="7" fillId="9" borderId="4" xfId="1" applyNumberFormat="1" applyFont="1" applyFill="1" applyBorder="1"/>
    <xf numFmtId="0" fontId="50" fillId="9" borderId="46" xfId="0" applyFont="1" applyFill="1" applyBorder="1"/>
    <xf numFmtId="166" fontId="50" fillId="9" borderId="4" xfId="0" applyNumberFormat="1" applyFont="1" applyFill="1" applyBorder="1"/>
    <xf numFmtId="166" fontId="7" fillId="9" borderId="4" xfId="0" applyNumberFormat="1" applyFont="1" applyFill="1" applyBorder="1"/>
    <xf numFmtId="166" fontId="7" fillId="9" borderId="47" xfId="0" applyNumberFormat="1" applyFont="1" applyFill="1" applyBorder="1"/>
    <xf numFmtId="166" fontId="9" fillId="0" borderId="47" xfId="1" applyNumberFormat="1" applyFont="1" applyBorder="1"/>
    <xf numFmtId="166" fontId="7" fillId="0" borderId="47" xfId="0" applyNumberFormat="1" applyFont="1" applyBorder="1"/>
    <xf numFmtId="166" fontId="11" fillId="0" borderId="4" xfId="1" applyNumberFormat="1" applyFont="1" applyBorder="1"/>
    <xf numFmtId="10" fontId="7" fillId="0" borderId="4" xfId="3" applyNumberFormat="1" applyFont="1" applyBorder="1"/>
    <xf numFmtId="0" fontId="52" fillId="0" borderId="4" xfId="0" applyFont="1" applyBorder="1"/>
    <xf numFmtId="166" fontId="52" fillId="0" borderId="4" xfId="1" quotePrefix="1" applyNumberFormat="1" applyFont="1" applyBorder="1"/>
    <xf numFmtId="166" fontId="52" fillId="0" borderId="4" xfId="1" applyNumberFormat="1" applyFont="1" applyBorder="1"/>
    <xf numFmtId="0" fontId="7" fillId="9" borderId="4" xfId="0" applyFont="1" applyFill="1" applyBorder="1"/>
    <xf numFmtId="10" fontId="48" fillId="9" borderId="4" xfId="3" applyNumberFormat="1" applyFont="1" applyFill="1" applyBorder="1"/>
    <xf numFmtId="0" fontId="7" fillId="9" borderId="47" xfId="0" applyFont="1" applyFill="1" applyBorder="1"/>
    <xf numFmtId="0" fontId="48" fillId="0" borderId="0" xfId="0" applyFont="1"/>
    <xf numFmtId="166" fontId="11" fillId="0" borderId="4" xfId="0" applyNumberFormat="1" applyFont="1" applyBorder="1"/>
    <xf numFmtId="166" fontId="11" fillId="21" borderId="4" xfId="0" applyNumberFormat="1" applyFont="1" applyFill="1" applyBorder="1"/>
    <xf numFmtId="166" fontId="11" fillId="22" borderId="4" xfId="0" applyNumberFormat="1" applyFont="1" applyFill="1" applyBorder="1"/>
    <xf numFmtId="166" fontId="11" fillId="12" borderId="4" xfId="0" applyNumberFormat="1" applyFont="1" applyFill="1" applyBorder="1"/>
    <xf numFmtId="166" fontId="11" fillId="0" borderId="4" xfId="0" applyNumberFormat="1" applyFont="1" applyFill="1" applyBorder="1"/>
    <xf numFmtId="9" fontId="7" fillId="0" borderId="27" xfId="3" applyFont="1" applyBorder="1"/>
    <xf numFmtId="166" fontId="7" fillId="0" borderId="27" xfId="0" applyNumberFormat="1" applyFont="1" applyBorder="1"/>
    <xf numFmtId="0" fontId="53" fillId="0" borderId="0" xfId="1" applyNumberFormat="1" applyFont="1" applyFill="1"/>
    <xf numFmtId="0" fontId="0" fillId="0" borderId="0" xfId="1" applyNumberFormat="1" applyFont="1" applyBorder="1"/>
    <xf numFmtId="0" fontId="0" fillId="0" borderId="0" xfId="1" applyNumberFormat="1" applyFont="1" applyFill="1"/>
    <xf numFmtId="0" fontId="53" fillId="0" borderId="0" xfId="1" applyNumberFormat="1" applyFont="1" applyFill="1" applyAlignment="1">
      <alignment horizontal="center" wrapText="1"/>
    </xf>
    <xf numFmtId="0" fontId="0" fillId="0" borderId="0" xfId="1" quotePrefix="1" applyNumberFormat="1" applyFont="1" applyAlignment="1">
      <alignment horizontal="center" wrapText="1"/>
    </xf>
    <xf numFmtId="49" fontId="0" fillId="0" borderId="0" xfId="1" quotePrefix="1" applyNumberFormat="1" applyFont="1" applyFill="1" applyAlignment="1">
      <alignment horizontal="center" wrapText="1"/>
    </xf>
    <xf numFmtId="0" fontId="0" fillId="0" borderId="0" xfId="1" quotePrefix="1" applyNumberFormat="1" applyFont="1" applyBorder="1" applyAlignment="1">
      <alignment horizontal="center" wrapText="1"/>
    </xf>
    <xf numFmtId="0" fontId="0" fillId="0" borderId="0" xfId="1" applyNumberFormat="1" applyFont="1" applyFill="1" applyAlignment="1">
      <alignment horizontal="center" wrapText="1"/>
    </xf>
    <xf numFmtId="17" fontId="0" fillId="0" borderId="0" xfId="1" quotePrefix="1" applyNumberFormat="1" applyFont="1" applyAlignment="1">
      <alignment horizontal="center" wrapText="1"/>
    </xf>
    <xf numFmtId="169" fontId="54" fillId="0" borderId="0" xfId="8" applyNumberFormat="1" applyFont="1" applyFill="1"/>
    <xf numFmtId="0" fontId="20" fillId="11" borderId="51" xfId="1" quotePrefix="1" applyNumberFormat="1" applyFont="1" applyFill="1" applyBorder="1" applyAlignment="1"/>
    <xf numFmtId="0" fontId="20" fillId="11" borderId="52" xfId="1" quotePrefix="1" applyNumberFormat="1" applyFont="1" applyFill="1" applyBorder="1" applyAlignment="1"/>
    <xf numFmtId="0" fontId="20" fillId="11" borderId="53" xfId="1" quotePrefix="1" applyNumberFormat="1" applyFont="1" applyFill="1" applyBorder="1" applyAlignment="1"/>
    <xf numFmtId="169" fontId="55" fillId="0" borderId="32" xfId="8" applyNumberFormat="1" applyFont="1" applyFill="1" applyBorder="1"/>
    <xf numFmtId="169" fontId="55" fillId="0" borderId="32" xfId="8" applyNumberFormat="1" applyFont="1" applyBorder="1"/>
    <xf numFmtId="169" fontId="55" fillId="0" borderId="33" xfId="8" applyNumberFormat="1" applyFont="1" applyBorder="1"/>
    <xf numFmtId="169" fontId="55" fillId="0" borderId="0" xfId="8" applyNumberFormat="1" applyFont="1"/>
    <xf numFmtId="169" fontId="55" fillId="0" borderId="0" xfId="8" applyNumberFormat="1" applyFont="1" applyFill="1"/>
    <xf numFmtId="169" fontId="28" fillId="0" borderId="22" xfId="8" applyNumberFormat="1" applyFont="1" applyBorder="1"/>
    <xf numFmtId="169" fontId="55" fillId="0" borderId="2" xfId="8" applyNumberFormat="1" applyFont="1" applyBorder="1"/>
    <xf numFmtId="169" fontId="28" fillId="0" borderId="2" xfId="8" applyNumberFormat="1" applyFont="1" applyBorder="1"/>
    <xf numFmtId="169" fontId="55" fillId="0" borderId="54" xfId="8" applyNumberFormat="1" applyFont="1" applyBorder="1"/>
    <xf numFmtId="169" fontId="55" fillId="0" borderId="0" xfId="8" applyNumberFormat="1" applyFont="1" applyFill="1" applyBorder="1"/>
    <xf numFmtId="169" fontId="55" fillId="0" borderId="0" xfId="8" applyNumberFormat="1" applyFont="1" applyBorder="1"/>
    <xf numFmtId="169" fontId="55" fillId="0" borderId="36" xfId="8" applyNumberFormat="1" applyFont="1" applyBorder="1"/>
    <xf numFmtId="0" fontId="20" fillId="11" borderId="22" xfId="1" quotePrefix="1" applyNumberFormat="1" applyFont="1" applyFill="1" applyBorder="1" applyAlignment="1">
      <alignment horizontal="left"/>
    </xf>
    <xf numFmtId="0" fontId="20" fillId="11" borderId="2" xfId="1" quotePrefix="1" applyNumberFormat="1" applyFont="1" applyFill="1" applyBorder="1" applyAlignment="1">
      <alignment horizontal="right"/>
    </xf>
    <xf numFmtId="0" fontId="20" fillId="11" borderId="2" xfId="1" quotePrefix="1" applyNumberFormat="1" applyFont="1" applyFill="1" applyBorder="1" applyAlignment="1">
      <alignment horizontal="left"/>
    </xf>
    <xf numFmtId="0" fontId="20" fillId="11" borderId="54" xfId="1" quotePrefix="1" applyNumberFormat="1" applyFont="1" applyFill="1" applyBorder="1" applyAlignment="1">
      <alignment horizontal="left"/>
    </xf>
    <xf numFmtId="166" fontId="56" fillId="0" borderId="0" xfId="1" applyNumberFormat="1" applyFont="1" applyFill="1" applyAlignment="1">
      <alignment horizontal="center" vertical="center"/>
    </xf>
    <xf numFmtId="0" fontId="24" fillId="11" borderId="55" xfId="1" applyNumberFormat="1" applyFont="1" applyFill="1" applyBorder="1" applyAlignment="1">
      <alignment horizontal="center" wrapText="1"/>
    </xf>
    <xf numFmtId="166" fontId="24" fillId="11" borderId="56" xfId="1" applyNumberFormat="1" applyFont="1" applyFill="1" applyBorder="1" applyAlignment="1">
      <alignment horizontal="center"/>
    </xf>
    <xf numFmtId="166" fontId="24" fillId="11" borderId="56" xfId="1" applyNumberFormat="1" applyFont="1" applyFill="1" applyBorder="1" applyAlignment="1">
      <alignment horizontal="center" wrapText="1"/>
    </xf>
    <xf numFmtId="166" fontId="24" fillId="11" borderId="57" xfId="1" applyNumberFormat="1" applyFont="1" applyFill="1" applyBorder="1" applyAlignment="1">
      <alignment horizontal="center"/>
    </xf>
    <xf numFmtId="166" fontId="24" fillId="14" borderId="56" xfId="1" applyNumberFormat="1" applyFont="1" applyFill="1" applyBorder="1" applyAlignment="1">
      <alignment horizontal="center"/>
    </xf>
    <xf numFmtId="166" fontId="24" fillId="11" borderId="57" xfId="1" applyNumberFormat="1" applyFont="1" applyFill="1" applyBorder="1" applyAlignment="1">
      <alignment horizontal="center" wrapText="1"/>
    </xf>
    <xf numFmtId="0" fontId="57" fillId="0" borderId="0" xfId="0" applyFont="1" applyFill="1"/>
    <xf numFmtId="166" fontId="24" fillId="0" borderId="0" xfId="1" applyNumberFormat="1" applyFont="1" applyFill="1" applyAlignment="1">
      <alignment horizontal="center" vertical="center"/>
    </xf>
    <xf numFmtId="166" fontId="58" fillId="0" borderId="0" xfId="1" applyNumberFormat="1" applyFont="1" applyFill="1" applyAlignment="1">
      <alignment horizontal="center" vertical="center"/>
    </xf>
    <xf numFmtId="0" fontId="59" fillId="0" borderId="23" xfId="1" applyNumberFormat="1" applyFont="1" applyBorder="1" applyAlignment="1">
      <alignment horizontal="center" vertical="center"/>
    </xf>
    <xf numFmtId="166" fontId="59" fillId="0" borderId="0" xfId="1" applyNumberFormat="1" applyFont="1" applyBorder="1" applyAlignment="1">
      <alignment horizontal="center" vertical="center"/>
    </xf>
    <xf numFmtId="0" fontId="0" fillId="0" borderId="36" xfId="0" applyBorder="1"/>
    <xf numFmtId="166" fontId="59" fillId="0" borderId="0" xfId="1" applyNumberFormat="1" applyFont="1" applyFill="1" applyAlignment="1">
      <alignment horizontal="center" vertical="center"/>
    </xf>
    <xf numFmtId="166" fontId="60" fillId="0" borderId="0" xfId="1" applyNumberFormat="1" applyFont="1" applyFill="1"/>
    <xf numFmtId="0" fontId="61" fillId="11" borderId="31" xfId="1" applyNumberFormat="1" applyFont="1" applyFill="1" applyBorder="1" applyAlignment="1">
      <alignment horizontal="center"/>
    </xf>
    <xf numFmtId="0" fontId="61" fillId="11" borderId="32" xfId="1" applyNumberFormat="1" applyFont="1" applyFill="1" applyBorder="1"/>
    <xf numFmtId="0" fontId="61" fillId="11" borderId="32" xfId="1" applyNumberFormat="1" applyFont="1" applyFill="1" applyBorder="1" applyAlignment="1">
      <alignment horizontal="center"/>
    </xf>
    <xf numFmtId="0" fontId="61" fillId="11" borderId="58" xfId="1" applyNumberFormat="1" applyFont="1" applyFill="1" applyBorder="1" applyAlignment="1">
      <alignment horizontal="center"/>
    </xf>
    <xf numFmtId="0" fontId="61" fillId="11" borderId="59" xfId="1" applyNumberFormat="1" applyFont="1" applyFill="1" applyBorder="1" applyAlignment="1">
      <alignment horizontal="center"/>
    </xf>
    <xf numFmtId="0" fontId="62" fillId="0" borderId="0" xfId="0" applyFont="1" applyFill="1"/>
    <xf numFmtId="166" fontId="62" fillId="0" borderId="0" xfId="1" applyNumberFormat="1" applyFont="1" applyFill="1"/>
    <xf numFmtId="0" fontId="61" fillId="0" borderId="0" xfId="1" applyNumberFormat="1" applyFont="1" applyFill="1" applyBorder="1" applyAlignment="1">
      <alignment horizontal="center"/>
    </xf>
    <xf numFmtId="0" fontId="61" fillId="0" borderId="0" xfId="1" applyNumberFormat="1" applyFont="1" applyFill="1" applyBorder="1"/>
    <xf numFmtId="0" fontId="61" fillId="0" borderId="60" xfId="1" applyNumberFormat="1" applyFont="1" applyFill="1" applyBorder="1" applyAlignment="1">
      <alignment horizontal="center"/>
    </xf>
    <xf numFmtId="0" fontId="61" fillId="0" borderId="61" xfId="1" applyNumberFormat="1" applyFont="1" applyFill="1" applyBorder="1" applyAlignment="1">
      <alignment horizontal="center"/>
    </xf>
    <xf numFmtId="166" fontId="47" fillId="0" borderId="0" xfId="1" applyNumberFormat="1" applyFont="1" applyFill="1"/>
    <xf numFmtId="166" fontId="20" fillId="11" borderId="62" xfId="1" applyNumberFormat="1" applyFont="1" applyFill="1" applyBorder="1" applyAlignment="1">
      <alignment horizontal="right"/>
    </xf>
    <xf numFmtId="167" fontId="20" fillId="11" borderId="63" xfId="1" quotePrefix="1" applyNumberFormat="1" applyFont="1" applyFill="1" applyBorder="1"/>
    <xf numFmtId="167" fontId="20" fillId="11" borderId="64" xfId="1" quotePrefix="1" applyNumberFormat="1" applyFont="1" applyFill="1" applyBorder="1"/>
    <xf numFmtId="167" fontId="20" fillId="11" borderId="65" xfId="1" quotePrefix="1" applyNumberFormat="1" applyFont="1" applyFill="1" applyBorder="1"/>
    <xf numFmtId="167" fontId="20" fillId="11" borderId="66" xfId="1" quotePrefix="1" applyNumberFormat="1" applyFont="1" applyFill="1" applyBorder="1"/>
    <xf numFmtId="167" fontId="20" fillId="11" borderId="67" xfId="1" quotePrefix="1" applyNumberFormat="1" applyFont="1" applyFill="1" applyBorder="1"/>
    <xf numFmtId="170" fontId="20" fillId="3" borderId="68" xfId="3" applyNumberFormat="1" applyFont="1" applyFill="1" applyBorder="1" applyAlignment="1">
      <alignment horizontal="center"/>
    </xf>
    <xf numFmtId="170" fontId="20" fillId="3" borderId="69" xfId="3" applyNumberFormat="1" applyFont="1" applyFill="1" applyBorder="1" applyAlignment="1">
      <alignment horizontal="left" indent="1"/>
    </xf>
    <xf numFmtId="170" fontId="20" fillId="3" borderId="70" xfId="3" applyNumberFormat="1" applyFont="1" applyFill="1" applyBorder="1" applyAlignment="1">
      <alignment horizontal="left" indent="1"/>
    </xf>
    <xf numFmtId="164" fontId="20" fillId="3" borderId="71" xfId="3" applyNumberFormat="1" applyFont="1" applyFill="1" applyBorder="1" applyAlignment="1">
      <alignment horizontal="left" indent="1"/>
    </xf>
    <xf numFmtId="49" fontId="20" fillId="0" borderId="0" xfId="0" applyNumberFormat="1" applyFont="1" applyFill="1"/>
    <xf numFmtId="0" fontId="20" fillId="0" borderId="0" xfId="0" applyFont="1" applyFill="1"/>
    <xf numFmtId="166" fontId="20" fillId="0" borderId="0" xfId="1" applyNumberFormat="1" applyFont="1" applyFill="1"/>
    <xf numFmtId="166" fontId="63" fillId="0" borderId="0" xfId="1" applyNumberFormat="1" applyFont="1" applyFill="1"/>
    <xf numFmtId="166" fontId="21" fillId="0" borderId="13" xfId="1" applyNumberFormat="1" applyFont="1" applyFill="1" applyBorder="1" applyAlignment="1">
      <alignment horizontal="right" wrapText="1"/>
    </xf>
    <xf numFmtId="167" fontId="21" fillId="0" borderId="4" xfId="1" quotePrefix="1" applyNumberFormat="1" applyFont="1" applyFill="1" applyBorder="1"/>
    <xf numFmtId="167" fontId="21" fillId="0" borderId="1" xfId="1" quotePrefix="1" applyNumberFormat="1" applyFont="1" applyFill="1" applyBorder="1"/>
    <xf numFmtId="167" fontId="21" fillId="0" borderId="12" xfId="1" quotePrefix="1" applyNumberFormat="1" applyFont="1" applyFill="1" applyBorder="1"/>
    <xf numFmtId="167" fontId="21" fillId="0" borderId="3" xfId="1" quotePrefix="1" applyNumberFormat="1" applyFont="1" applyFill="1" applyBorder="1"/>
    <xf numFmtId="167" fontId="21" fillId="0" borderId="11" xfId="1" quotePrefix="1" applyNumberFormat="1" applyFont="1" applyFill="1" applyBorder="1"/>
    <xf numFmtId="170" fontId="21" fillId="0" borderId="0" xfId="3" applyNumberFormat="1" applyFont="1" applyBorder="1" applyAlignment="1">
      <alignment horizontal="center"/>
    </xf>
    <xf numFmtId="170" fontId="21" fillId="0" borderId="0" xfId="3" applyNumberFormat="1" applyFont="1" applyBorder="1" applyAlignment="1">
      <alignment horizontal="left" indent="1"/>
    </xf>
    <xf numFmtId="170" fontId="21" fillId="0" borderId="36" xfId="3" applyNumberFormat="1" applyFont="1" applyBorder="1" applyAlignment="1">
      <alignment horizontal="left" indent="1"/>
    </xf>
    <xf numFmtId="164" fontId="21" fillId="0" borderId="0" xfId="3" applyNumberFormat="1" applyFont="1" applyBorder="1" applyAlignment="1">
      <alignment horizontal="left" indent="1"/>
    </xf>
    <xf numFmtId="49" fontId="21" fillId="0" borderId="0" xfId="0" applyNumberFormat="1" applyFont="1" applyFill="1"/>
    <xf numFmtId="0" fontId="21" fillId="0" borderId="0" xfId="0" applyFont="1" applyFill="1"/>
    <xf numFmtId="166" fontId="21" fillId="3" borderId="13" xfId="1" applyNumberFormat="1" applyFont="1" applyFill="1" applyBorder="1" applyAlignment="1">
      <alignment horizontal="right"/>
    </xf>
    <xf numFmtId="167" fontId="21" fillId="23" borderId="4" xfId="1" quotePrefix="1" applyNumberFormat="1" applyFont="1" applyFill="1" applyBorder="1"/>
    <xf numFmtId="167" fontId="21" fillId="23" borderId="1" xfId="1" quotePrefix="1" applyNumberFormat="1" applyFont="1" applyFill="1" applyBorder="1"/>
    <xf numFmtId="167" fontId="21" fillId="23" borderId="12" xfId="1" quotePrefix="1" applyNumberFormat="1" applyFont="1" applyFill="1" applyBorder="1"/>
    <xf numFmtId="167" fontId="21" fillId="23" borderId="3" xfId="1" quotePrefix="1" applyNumberFormat="1" applyFont="1" applyFill="1" applyBorder="1"/>
    <xf numFmtId="167" fontId="21" fillId="23" borderId="11" xfId="1" quotePrefix="1" applyNumberFormat="1" applyFont="1" applyFill="1" applyBorder="1"/>
    <xf numFmtId="170" fontId="21" fillId="3" borderId="68" xfId="3" applyNumberFormat="1" applyFont="1" applyFill="1" applyBorder="1" applyAlignment="1">
      <alignment horizontal="center"/>
    </xf>
    <xf numFmtId="170" fontId="21" fillId="3" borderId="69" xfId="3" applyNumberFormat="1" applyFont="1" applyFill="1" applyBorder="1" applyAlignment="1">
      <alignment horizontal="left" indent="1"/>
    </xf>
    <xf numFmtId="170" fontId="21" fillId="3" borderId="70" xfId="3" applyNumberFormat="1" applyFont="1" applyFill="1" applyBorder="1" applyAlignment="1">
      <alignment horizontal="left" indent="1"/>
    </xf>
    <xf numFmtId="164" fontId="21" fillId="3" borderId="71" xfId="3" applyNumberFormat="1" applyFont="1" applyFill="1" applyBorder="1" applyAlignment="1">
      <alignment horizontal="left" indent="1"/>
    </xf>
    <xf numFmtId="166" fontId="21" fillId="0" borderId="13" xfId="1" applyNumberFormat="1" applyFont="1" applyFill="1" applyBorder="1" applyAlignment="1">
      <alignment horizontal="right"/>
    </xf>
    <xf numFmtId="166" fontId="20" fillId="3" borderId="13" xfId="1" applyNumberFormat="1" applyFont="1" applyFill="1" applyBorder="1" applyAlignment="1">
      <alignment horizontal="right"/>
    </xf>
    <xf numFmtId="167" fontId="20" fillId="23" borderId="4" xfId="1" quotePrefix="1" applyNumberFormat="1" applyFont="1" applyFill="1" applyBorder="1"/>
    <xf numFmtId="167" fontId="20" fillId="23" borderId="1" xfId="1" quotePrefix="1" applyNumberFormat="1" applyFont="1" applyFill="1" applyBorder="1"/>
    <xf numFmtId="167" fontId="20" fillId="23" borderId="12" xfId="1" quotePrefix="1" applyNumberFormat="1" applyFont="1" applyFill="1" applyBorder="1"/>
    <xf numFmtId="167" fontId="20" fillId="23" borderId="3" xfId="1" quotePrefix="1" applyNumberFormat="1" applyFont="1" applyFill="1" applyBorder="1"/>
    <xf numFmtId="167" fontId="20" fillId="23" borderId="11" xfId="1" quotePrefix="1" applyNumberFormat="1" applyFont="1" applyFill="1" applyBorder="1"/>
    <xf numFmtId="166" fontId="20" fillId="11" borderId="72" xfId="1" applyNumberFormat="1" applyFont="1" applyFill="1" applyBorder="1" applyAlignment="1">
      <alignment horizontal="right" wrapText="1"/>
    </xf>
    <xf numFmtId="167" fontId="20" fillId="11" borderId="73" xfId="1" quotePrefix="1" applyNumberFormat="1" applyFont="1" applyFill="1" applyBorder="1"/>
    <xf numFmtId="167" fontId="20" fillId="11" borderId="74" xfId="1" quotePrefix="1" applyNumberFormat="1" applyFont="1" applyFill="1" applyBorder="1"/>
    <xf numFmtId="167" fontId="20" fillId="11" borderId="75" xfId="1" quotePrefix="1" applyNumberFormat="1" applyFont="1" applyFill="1" applyBorder="1"/>
    <xf numFmtId="167" fontId="20" fillId="11" borderId="76" xfId="1" quotePrefix="1" applyNumberFormat="1" applyFont="1" applyFill="1" applyBorder="1"/>
    <xf numFmtId="167" fontId="20" fillId="11" borderId="77" xfId="1" quotePrefix="1" applyNumberFormat="1" applyFont="1" applyFill="1" applyBorder="1"/>
    <xf numFmtId="166" fontId="21" fillId="0" borderId="42" xfId="1" quotePrefix="1" applyNumberFormat="1" applyFont="1" applyFill="1" applyBorder="1"/>
    <xf numFmtId="166" fontId="21" fillId="0" borderId="36" xfId="1" quotePrefix="1" applyNumberFormat="1" applyFont="1" applyFill="1" applyBorder="1"/>
    <xf numFmtId="166" fontId="64" fillId="0" borderId="0" xfId="1" applyNumberFormat="1" applyFont="1" applyFill="1"/>
    <xf numFmtId="166" fontId="24" fillId="24" borderId="51" xfId="1" applyNumberFormat="1" applyFont="1" applyFill="1" applyBorder="1" applyAlignment="1">
      <alignment horizontal="right"/>
    </xf>
    <xf numFmtId="166" fontId="57" fillId="24" borderId="52" xfId="1" quotePrefix="1" applyNumberFormat="1" applyFont="1" applyFill="1" applyBorder="1"/>
    <xf numFmtId="166" fontId="57" fillId="24" borderId="65" xfId="1" quotePrefix="1" applyNumberFormat="1" applyFont="1" applyFill="1" applyBorder="1"/>
    <xf numFmtId="166" fontId="57" fillId="24" borderId="66" xfId="1" quotePrefix="1" applyNumberFormat="1" applyFont="1" applyFill="1" applyBorder="1"/>
    <xf numFmtId="166" fontId="57" fillId="24" borderId="53" xfId="1" quotePrefix="1" applyNumberFormat="1" applyFont="1" applyFill="1" applyBorder="1"/>
    <xf numFmtId="170" fontId="57" fillId="0" borderId="0" xfId="3" applyNumberFormat="1" applyFont="1" applyBorder="1" applyAlignment="1">
      <alignment horizontal="center"/>
    </xf>
    <xf numFmtId="170" fontId="57" fillId="0" borderId="0" xfId="3" applyNumberFormat="1" applyFont="1" applyBorder="1" applyAlignment="1">
      <alignment horizontal="left" indent="1"/>
    </xf>
    <xf numFmtId="170" fontId="57" fillId="0" borderId="36" xfId="3" applyNumberFormat="1" applyFont="1" applyBorder="1" applyAlignment="1">
      <alignment horizontal="left" indent="1"/>
    </xf>
    <xf numFmtId="164" fontId="57" fillId="0" borderId="0" xfId="3" applyNumberFormat="1" applyFont="1" applyBorder="1" applyAlignment="1">
      <alignment horizontal="left" indent="1"/>
    </xf>
    <xf numFmtId="49" fontId="57" fillId="0" borderId="0" xfId="0" applyNumberFormat="1" applyFont="1" applyFill="1"/>
    <xf numFmtId="166" fontId="57" fillId="0" borderId="0" xfId="1" applyNumberFormat="1" applyFont="1" applyFill="1"/>
    <xf numFmtId="166" fontId="20" fillId="24" borderId="13" xfId="1" applyNumberFormat="1" applyFont="1" applyFill="1" applyBorder="1" applyAlignment="1">
      <alignment horizontal="right"/>
    </xf>
    <xf numFmtId="167" fontId="20" fillId="24" borderId="4" xfId="1" quotePrefix="1" applyNumberFormat="1" applyFont="1" applyFill="1" applyBorder="1"/>
    <xf numFmtId="167" fontId="20" fillId="24" borderId="1" xfId="1" quotePrefix="1" applyNumberFormat="1" applyFont="1" applyFill="1" applyBorder="1"/>
    <xf numFmtId="167" fontId="20" fillId="24" borderId="12" xfId="1" quotePrefix="1" applyNumberFormat="1" applyFont="1" applyFill="1" applyBorder="1"/>
    <xf numFmtId="168" fontId="20" fillId="24" borderId="3" xfId="1" quotePrefix="1" applyNumberFormat="1" applyFont="1" applyFill="1" applyBorder="1"/>
    <xf numFmtId="167" fontId="20" fillId="24" borderId="3" xfId="1" quotePrefix="1" applyNumberFormat="1" applyFont="1" applyFill="1" applyBorder="1"/>
    <xf numFmtId="9" fontId="20" fillId="0" borderId="0" xfId="3" applyFont="1" applyFill="1"/>
    <xf numFmtId="9" fontId="21" fillId="0" borderId="0" xfId="3" applyFont="1" applyFill="1"/>
    <xf numFmtId="166" fontId="21" fillId="24" borderId="13" xfId="1" applyNumberFormat="1" applyFont="1" applyFill="1" applyBorder="1" applyAlignment="1">
      <alignment horizontal="right"/>
    </xf>
    <xf numFmtId="167" fontId="21" fillId="24" borderId="4" xfId="1" quotePrefix="1" applyNumberFormat="1" applyFont="1" applyFill="1" applyBorder="1"/>
    <xf numFmtId="167" fontId="21" fillId="24" borderId="1" xfId="1" quotePrefix="1" applyNumberFormat="1" applyFont="1" applyFill="1" applyBorder="1"/>
    <xf numFmtId="167" fontId="21" fillId="24" borderId="12" xfId="1" quotePrefix="1" applyNumberFormat="1" applyFont="1" applyFill="1" applyBorder="1"/>
    <xf numFmtId="167" fontId="21" fillId="24" borderId="3" xfId="1" quotePrefix="1" applyNumberFormat="1" applyFont="1" applyFill="1" applyBorder="1"/>
    <xf numFmtId="168" fontId="20" fillId="0" borderId="0" xfId="0" applyNumberFormat="1" applyFont="1" applyFill="1"/>
    <xf numFmtId="166" fontId="20" fillId="24" borderId="72" xfId="1" applyNumberFormat="1" applyFont="1" applyFill="1" applyBorder="1" applyAlignment="1">
      <alignment horizontal="right" wrapText="1"/>
    </xf>
    <xf numFmtId="167" fontId="20" fillId="24" borderId="73" xfId="1" quotePrefix="1" applyNumberFormat="1" applyFont="1" applyFill="1" applyBorder="1"/>
    <xf numFmtId="167" fontId="20" fillId="24" borderId="74" xfId="1" quotePrefix="1" applyNumberFormat="1" applyFont="1" applyFill="1" applyBorder="1"/>
    <xf numFmtId="167" fontId="20" fillId="24" borderId="75" xfId="1" quotePrefix="1" applyNumberFormat="1" applyFont="1" applyFill="1" applyBorder="1"/>
    <xf numFmtId="167" fontId="20" fillId="24" borderId="76" xfId="1" quotePrefix="1" applyNumberFormat="1" applyFont="1" applyFill="1" applyBorder="1"/>
    <xf numFmtId="166" fontId="21" fillId="0" borderId="0" xfId="1" applyNumberFormat="1" applyFont="1" applyFill="1" applyAlignment="1">
      <alignment horizontal="right"/>
    </xf>
    <xf numFmtId="166" fontId="21" fillId="0" borderId="0" xfId="1" quotePrefix="1" applyNumberFormat="1" applyFont="1" applyFill="1" applyBorder="1"/>
    <xf numFmtId="166" fontId="24" fillId="17" borderId="51" xfId="1" applyNumberFormat="1" applyFont="1" applyFill="1" applyBorder="1" applyAlignment="1">
      <alignment horizontal="right"/>
    </xf>
    <xf numFmtId="166" fontId="57" fillId="17" borderId="52" xfId="1" quotePrefix="1" applyNumberFormat="1" applyFont="1" applyFill="1" applyBorder="1"/>
    <xf numFmtId="166" fontId="57" fillId="17" borderId="65" xfId="1" quotePrefix="1" applyNumberFormat="1" applyFont="1" applyFill="1" applyBorder="1"/>
    <xf numFmtId="166" fontId="57" fillId="17" borderId="66" xfId="1" quotePrefix="1" applyNumberFormat="1" applyFont="1" applyFill="1" applyBorder="1"/>
    <xf numFmtId="166" fontId="57" fillId="17" borderId="53" xfId="1" quotePrefix="1" applyNumberFormat="1" applyFont="1" applyFill="1" applyBorder="1"/>
    <xf numFmtId="166" fontId="20" fillId="17" borderId="13" xfId="1" applyNumberFormat="1" applyFont="1" applyFill="1" applyBorder="1" applyAlignment="1">
      <alignment horizontal="right"/>
    </xf>
    <xf numFmtId="167" fontId="20" fillId="17" borderId="4" xfId="1" quotePrefix="1" applyNumberFormat="1" applyFont="1" applyFill="1" applyBorder="1"/>
    <xf numFmtId="167" fontId="20" fillId="17" borderId="1" xfId="1" quotePrefix="1" applyNumberFormat="1" applyFont="1" applyFill="1" applyBorder="1"/>
    <xf numFmtId="167" fontId="20" fillId="17" borderId="12" xfId="1" quotePrefix="1" applyNumberFormat="1" applyFont="1" applyFill="1" applyBorder="1"/>
    <xf numFmtId="167" fontId="20" fillId="17" borderId="54" xfId="1" quotePrefix="1" applyNumberFormat="1" applyFont="1" applyFill="1" applyBorder="1"/>
    <xf numFmtId="167" fontId="21" fillId="0" borderId="54" xfId="1" quotePrefix="1" applyNumberFormat="1" applyFont="1" applyFill="1" applyBorder="1"/>
    <xf numFmtId="166" fontId="21" fillId="17" borderId="13" xfId="1" applyNumberFormat="1" applyFont="1" applyFill="1" applyBorder="1" applyAlignment="1">
      <alignment horizontal="right"/>
    </xf>
    <xf numFmtId="167" fontId="21" fillId="17" borderId="4" xfId="1" quotePrefix="1" applyNumberFormat="1" applyFont="1" applyFill="1" applyBorder="1"/>
    <xf numFmtId="167" fontId="21" fillId="17" borderId="1" xfId="1" quotePrefix="1" applyNumberFormat="1" applyFont="1" applyFill="1" applyBorder="1"/>
    <xf numFmtId="167" fontId="21" fillId="17" borderId="12" xfId="1" quotePrefix="1" applyNumberFormat="1" applyFont="1" applyFill="1" applyBorder="1"/>
    <xf numFmtId="167" fontId="21" fillId="17" borderId="54" xfId="1" quotePrefix="1" applyNumberFormat="1" applyFont="1" applyFill="1" applyBorder="1"/>
    <xf numFmtId="166" fontId="20" fillId="17" borderId="72" xfId="1" applyNumberFormat="1" applyFont="1" applyFill="1" applyBorder="1" applyAlignment="1">
      <alignment horizontal="right" wrapText="1"/>
    </xf>
    <xf numFmtId="167" fontId="20" fillId="17" borderId="29" xfId="1" quotePrefix="1" applyNumberFormat="1" applyFont="1" applyFill="1" applyBorder="1"/>
    <xf numFmtId="167" fontId="20" fillId="17" borderId="30" xfId="1" quotePrefix="1" applyNumberFormat="1" applyFont="1" applyFill="1" applyBorder="1"/>
    <xf numFmtId="167" fontId="20" fillId="17" borderId="34" xfId="1" quotePrefix="1" applyNumberFormat="1" applyFont="1" applyFill="1" applyBorder="1"/>
    <xf numFmtId="167" fontId="20" fillId="17" borderId="78" xfId="1" quotePrefix="1" applyNumberFormat="1" applyFont="1" applyFill="1" applyBorder="1"/>
    <xf numFmtId="167" fontId="20" fillId="17" borderId="76" xfId="1" quotePrefix="1" applyNumberFormat="1" applyFont="1" applyFill="1" applyBorder="1"/>
    <xf numFmtId="166" fontId="24" fillId="25" borderId="51" xfId="1" applyNumberFormat="1" applyFont="1" applyFill="1" applyBorder="1" applyAlignment="1">
      <alignment horizontal="right"/>
    </xf>
    <xf numFmtId="166" fontId="57" fillId="25" borderId="52" xfId="1" quotePrefix="1" applyNumberFormat="1" applyFont="1" applyFill="1" applyBorder="1"/>
    <xf numFmtId="166" fontId="57" fillId="25" borderId="65" xfId="1" quotePrefix="1" applyNumberFormat="1" applyFont="1" applyFill="1" applyBorder="1"/>
    <xf numFmtId="166" fontId="57" fillId="25" borderId="66" xfId="1" quotePrefix="1" applyNumberFormat="1" applyFont="1" applyFill="1" applyBorder="1"/>
    <xf numFmtId="166" fontId="57" fillId="25" borderId="53" xfId="1" quotePrefix="1" applyNumberFormat="1" applyFont="1" applyFill="1" applyBorder="1"/>
    <xf numFmtId="166" fontId="20" fillId="25" borderId="13" xfId="1" applyNumberFormat="1" applyFont="1" applyFill="1" applyBorder="1" applyAlignment="1">
      <alignment horizontal="right"/>
    </xf>
    <xf numFmtId="167" fontId="20" fillId="25" borderId="4" xfId="1" quotePrefix="1" applyNumberFormat="1" applyFont="1" applyFill="1" applyBorder="1"/>
    <xf numFmtId="167" fontId="20" fillId="25" borderId="1" xfId="1" quotePrefix="1" applyNumberFormat="1" applyFont="1" applyFill="1" applyBorder="1"/>
    <xf numFmtId="167" fontId="20" fillId="25" borderId="12" xfId="1" quotePrefix="1" applyNumberFormat="1" applyFont="1" applyFill="1" applyBorder="1"/>
    <xf numFmtId="167" fontId="20" fillId="25" borderId="11" xfId="1" quotePrefix="1" applyNumberFormat="1" applyFont="1" applyFill="1" applyBorder="1"/>
    <xf numFmtId="166" fontId="21" fillId="25" borderId="13" xfId="1" applyNumberFormat="1" applyFont="1" applyFill="1" applyBorder="1" applyAlignment="1">
      <alignment horizontal="right"/>
    </xf>
    <xf numFmtId="167" fontId="21" fillId="25" borderId="4" xfId="1" quotePrefix="1" applyNumberFormat="1" applyFont="1" applyFill="1" applyBorder="1"/>
    <xf numFmtId="167" fontId="21" fillId="25" borderId="1" xfId="1" quotePrefix="1" applyNumberFormat="1" applyFont="1" applyFill="1" applyBorder="1"/>
    <xf numFmtId="167" fontId="21" fillId="25" borderId="12" xfId="1" quotePrefix="1" applyNumberFormat="1" applyFont="1" applyFill="1" applyBorder="1"/>
    <xf numFmtId="167" fontId="21" fillId="25" borderId="11" xfId="1" quotePrefix="1" applyNumberFormat="1" applyFont="1" applyFill="1" applyBorder="1"/>
    <xf numFmtId="166" fontId="20" fillId="25" borderId="72" xfId="1" applyNumberFormat="1" applyFont="1" applyFill="1" applyBorder="1" applyAlignment="1">
      <alignment horizontal="right" wrapText="1"/>
    </xf>
    <xf numFmtId="167" fontId="20" fillId="25" borderId="73" xfId="1" quotePrefix="1" applyNumberFormat="1" applyFont="1" applyFill="1" applyBorder="1"/>
    <xf numFmtId="167" fontId="20" fillId="25" borderId="74" xfId="1" quotePrefix="1" applyNumberFormat="1" applyFont="1" applyFill="1" applyBorder="1"/>
    <xf numFmtId="167" fontId="20" fillId="25" borderId="75" xfId="1" quotePrefix="1" applyNumberFormat="1" applyFont="1" applyFill="1" applyBorder="1"/>
    <xf numFmtId="167" fontId="20" fillId="25" borderId="76" xfId="1" quotePrefix="1" applyNumberFormat="1" applyFont="1" applyFill="1" applyBorder="1"/>
    <xf numFmtId="166" fontId="21" fillId="0" borderId="24" xfId="1" applyNumberFormat="1" applyFont="1" applyFill="1" applyBorder="1" applyAlignment="1">
      <alignment horizontal="right"/>
    </xf>
    <xf numFmtId="167" fontId="21" fillId="0" borderId="24" xfId="1" quotePrefix="1" applyNumberFormat="1" applyFont="1" applyFill="1" applyBorder="1"/>
    <xf numFmtId="167" fontId="21" fillId="0" borderId="15" xfId="1" quotePrefix="1" applyNumberFormat="1" applyFont="1" applyFill="1" applyBorder="1"/>
    <xf numFmtId="167" fontId="21" fillId="0" borderId="42" xfId="1" quotePrefix="1" applyNumberFormat="1" applyFont="1" applyFill="1" applyBorder="1"/>
    <xf numFmtId="167" fontId="21" fillId="0" borderId="17" xfId="1" quotePrefix="1" applyNumberFormat="1" applyFont="1" applyFill="1" applyBorder="1"/>
    <xf numFmtId="166" fontId="21" fillId="26" borderId="79" xfId="1" applyNumberFormat="1" applyFont="1" applyFill="1" applyBorder="1" applyAlignment="1">
      <alignment horizontal="right"/>
    </xf>
    <xf numFmtId="167" fontId="21" fillId="26" borderId="80" xfId="1" quotePrefix="1" applyNumberFormat="1" applyFont="1" applyFill="1" applyBorder="1"/>
    <xf numFmtId="167" fontId="21" fillId="26" borderId="81" xfId="1" quotePrefix="1" applyNumberFormat="1" applyFont="1" applyFill="1" applyBorder="1"/>
    <xf numFmtId="167" fontId="21" fillId="26" borderId="50" xfId="1" quotePrefix="1" applyNumberFormat="1" applyFont="1" applyFill="1" applyBorder="1"/>
    <xf numFmtId="167" fontId="21" fillId="26" borderId="82" xfId="1" quotePrefix="1" applyNumberFormat="1" applyFont="1" applyFill="1" applyBorder="1"/>
    <xf numFmtId="167" fontId="21" fillId="26" borderId="83" xfId="1" quotePrefix="1" applyNumberFormat="1" applyFont="1" applyFill="1" applyBorder="1"/>
    <xf numFmtId="166" fontId="63" fillId="0" borderId="0" xfId="1" applyNumberFormat="1" applyFont="1" applyFill="1" applyBorder="1"/>
    <xf numFmtId="0" fontId="21" fillId="0" borderId="0" xfId="1" applyNumberFormat="1" applyFont="1" applyFill="1" applyBorder="1" applyAlignment="1">
      <alignment horizontal="right" indent="1"/>
    </xf>
    <xf numFmtId="49" fontId="21" fillId="0" borderId="0" xfId="0" applyNumberFormat="1" applyFont="1" applyFill="1" applyBorder="1"/>
    <xf numFmtId="0" fontId="21" fillId="0" borderId="0" xfId="0" applyFont="1" applyFill="1" applyBorder="1"/>
    <xf numFmtId="166" fontId="21" fillId="0" borderId="0" xfId="1" applyNumberFormat="1" applyFont="1" applyFill="1" applyBorder="1"/>
    <xf numFmtId="166" fontId="21" fillId="0" borderId="0" xfId="1" applyNumberFormat="1" applyFont="1" applyFill="1" applyBorder="1" applyAlignment="1">
      <alignment horizontal="right"/>
    </xf>
    <xf numFmtId="166" fontId="21" fillId="0" borderId="0" xfId="1" applyNumberFormat="1" applyFont="1" applyFill="1" applyBorder="1" applyAlignment="1">
      <alignment horizontal="right" wrapText="1"/>
    </xf>
    <xf numFmtId="0" fontId="21" fillId="0" borderId="0" xfId="0" applyFont="1" applyBorder="1"/>
    <xf numFmtId="166" fontId="53" fillId="0" borderId="0" xfId="1" applyNumberFormat="1" applyFont="1" applyFill="1"/>
    <xf numFmtId="166" fontId="0" fillId="0" borderId="0" xfId="1" applyNumberFormat="1" applyFont="1" applyFill="1" applyBorder="1"/>
    <xf numFmtId="166" fontId="0" fillId="0" borderId="0" xfId="1" applyNumberFormat="1" applyFont="1" applyFill="1"/>
    <xf numFmtId="166" fontId="0" fillId="0" borderId="0" xfId="1" applyNumberFormat="1" applyFont="1" applyBorder="1"/>
    <xf numFmtId="165" fontId="0" fillId="9" borderId="4" xfId="2" applyNumberFormat="1" applyFont="1" applyFill="1" applyBorder="1" applyProtection="1">
      <protection locked="0"/>
    </xf>
    <xf numFmtId="0" fontId="7" fillId="26" borderId="0" xfId="0" applyFont="1" applyFill="1"/>
    <xf numFmtId="166" fontId="7" fillId="26" borderId="0" xfId="0" applyNumberFormat="1" applyFont="1" applyFill="1"/>
    <xf numFmtId="0" fontId="9" fillId="26" borderId="0" xfId="0" applyFont="1" applyFill="1"/>
    <xf numFmtId="0" fontId="65" fillId="0" borderId="4" xfId="0" applyFont="1" applyBorder="1"/>
    <xf numFmtId="0" fontId="66" fillId="0" borderId="4" xfId="0" applyFont="1" applyBorder="1"/>
    <xf numFmtId="166" fontId="66" fillId="0" borderId="4" xfId="0" applyNumberFormat="1" applyFont="1" applyBorder="1"/>
    <xf numFmtId="0" fontId="43" fillId="0" borderId="0" xfId="0" applyFont="1"/>
    <xf numFmtId="0" fontId="65" fillId="9" borderId="4" xfId="0" applyFont="1" applyFill="1" applyBorder="1" applyAlignment="1">
      <alignment wrapText="1"/>
    </xf>
    <xf numFmtId="166" fontId="65" fillId="9" borderId="27" xfId="0" applyNumberFormat="1" applyFont="1" applyFill="1" applyBorder="1"/>
    <xf numFmtId="166" fontId="66" fillId="0" borderId="0" xfId="1" applyNumberFormat="1" applyFont="1"/>
    <xf numFmtId="0" fontId="66" fillId="0" borderId="0" xfId="0" applyFont="1"/>
    <xf numFmtId="43" fontId="66" fillId="0" borderId="0" xfId="0" applyNumberFormat="1" applyFont="1"/>
    <xf numFmtId="166" fontId="65" fillId="0" borderId="38" xfId="0" applyNumberFormat="1" applyFont="1" applyBorder="1"/>
    <xf numFmtId="166" fontId="65" fillId="26" borderId="0" xfId="1" applyNumberFormat="1" applyFont="1" applyFill="1"/>
    <xf numFmtId="9" fontId="0" fillId="5" borderId="4" xfId="3" applyNumberFormat="1" applyFont="1" applyFill="1" applyBorder="1"/>
    <xf numFmtId="166" fontId="66" fillId="26" borderId="4" xfId="0" applyNumberFormat="1" applyFont="1" applyFill="1" applyBorder="1"/>
    <xf numFmtId="166" fontId="0" fillId="0" borderId="4" xfId="1" quotePrefix="1" applyNumberFormat="1" applyFont="1" applyFill="1" applyBorder="1" applyAlignment="1" applyProtection="1">
      <alignment horizontal="right"/>
      <protection locked="0"/>
    </xf>
    <xf numFmtId="0" fontId="65" fillId="0" borderId="4" xfId="0" applyFont="1" applyBorder="1" applyAlignment="1">
      <alignment wrapText="1"/>
    </xf>
    <xf numFmtId="0" fontId="66" fillId="26" borderId="0" xfId="0" applyFont="1" applyFill="1"/>
    <xf numFmtId="0" fontId="48" fillId="26" borderId="0" xfId="0" applyFont="1" applyFill="1"/>
    <xf numFmtId="166" fontId="66" fillId="0" borderId="0" xfId="0" applyNumberFormat="1" applyFont="1"/>
    <xf numFmtId="43" fontId="65" fillId="0" borderId="0" xfId="0" applyNumberFormat="1" applyFont="1"/>
    <xf numFmtId="166" fontId="48" fillId="0" borderId="0" xfId="0" applyNumberFormat="1" applyFont="1"/>
    <xf numFmtId="0" fontId="33" fillId="0" borderId="0" xfId="0" applyFont="1"/>
    <xf numFmtId="166" fontId="66" fillId="9" borderId="0" xfId="1" applyNumberFormat="1" applyFont="1" applyFill="1"/>
    <xf numFmtId="166" fontId="66" fillId="9" borderId="0" xfId="0" applyNumberFormat="1" applyFont="1" applyFill="1" applyAlignment="1">
      <alignment wrapText="1"/>
    </xf>
    <xf numFmtId="0" fontId="20" fillId="26" borderId="0" xfId="0" applyFont="1" applyFill="1"/>
    <xf numFmtId="0" fontId="7" fillId="0" borderId="4" xfId="0" applyFont="1" applyFill="1" applyBorder="1"/>
    <xf numFmtId="0" fontId="11" fillId="0" borderId="4" xfId="0" applyFont="1" applyFill="1" applyBorder="1" applyAlignment="1">
      <alignment horizontal="left"/>
    </xf>
    <xf numFmtId="0" fontId="11" fillId="0" borderId="4" xfId="0" applyFont="1" applyFill="1" applyBorder="1"/>
    <xf numFmtId="166" fontId="11" fillId="0" borderId="4" xfId="1" applyNumberFormat="1" applyFont="1" applyFill="1" applyBorder="1"/>
    <xf numFmtId="166" fontId="7" fillId="0" borderId="47" xfId="1" applyNumberFormat="1" applyFont="1" applyFill="1" applyBorder="1"/>
    <xf numFmtId="166" fontId="11" fillId="0" borderId="47" xfId="1" applyNumberFormat="1" applyFont="1" applyFill="1" applyBorder="1"/>
    <xf numFmtId="166" fontId="9" fillId="0" borderId="47" xfId="1" applyNumberFormat="1" applyFont="1" applyFill="1" applyBorder="1"/>
    <xf numFmtId="165" fontId="31" fillId="0" borderId="4" xfId="2" applyNumberFormat="1" applyFont="1" applyFill="1" applyBorder="1" applyProtection="1">
      <protection locked="0"/>
    </xf>
    <xf numFmtId="0" fontId="19" fillId="0" borderId="15" xfId="0" applyFont="1" applyBorder="1" applyAlignment="1">
      <alignment vertical="center"/>
    </xf>
    <xf numFmtId="10" fontId="19" fillId="0" borderId="0" xfId="3" applyNumberFormat="1" applyFont="1"/>
    <xf numFmtId="165" fontId="0" fillId="3" borderId="24" xfId="2" applyNumberFormat="1" applyFont="1" applyFill="1" applyBorder="1" applyProtection="1">
      <protection locked="0"/>
    </xf>
    <xf numFmtId="9" fontId="19" fillId="5" borderId="0" xfId="3" applyFont="1" applyFill="1" applyBorder="1"/>
    <xf numFmtId="165" fontId="0" fillId="9" borderId="4" xfId="3" applyNumberFormat="1" applyFont="1" applyFill="1" applyBorder="1" applyProtection="1">
      <protection locked="0"/>
    </xf>
    <xf numFmtId="164" fontId="0" fillId="5" borderId="4" xfId="3" applyNumberFormat="1" applyFont="1" applyFill="1" applyBorder="1"/>
    <xf numFmtId="165" fontId="67" fillId="0" borderId="0" xfId="0" applyNumberFormat="1" applyFont="1"/>
    <xf numFmtId="0" fontId="0" fillId="0" borderId="0" xfId="0" applyAlignment="1">
      <alignment wrapText="1"/>
    </xf>
    <xf numFmtId="0" fontId="10" fillId="0" borderId="0" xfId="0" applyFont="1"/>
    <xf numFmtId="171" fontId="68" fillId="27" borderId="0" xfId="0" applyNumberFormat="1" applyFont="1" applyFill="1" applyAlignment="1">
      <alignment horizontal="center" wrapText="1"/>
    </xf>
    <xf numFmtId="0" fontId="68" fillId="0" borderId="0" xfId="0" applyFont="1" applyFill="1"/>
    <xf numFmtId="0" fontId="19" fillId="0" borderId="0" xfId="0" applyFont="1" applyAlignment="1">
      <alignment horizontal="center" wrapText="1"/>
    </xf>
    <xf numFmtId="0" fontId="69" fillId="0" borderId="0" xfId="0" applyFont="1" applyFill="1"/>
    <xf numFmtId="0" fontId="69" fillId="0" borderId="0" xfId="0" applyFont="1" applyFill="1" applyAlignment="1">
      <alignment horizontal="left"/>
    </xf>
    <xf numFmtId="165" fontId="69" fillId="0" borderId="0" xfId="2" applyNumberFormat="1" applyFont="1" applyFill="1"/>
    <xf numFmtId="165" fontId="69" fillId="28" borderId="0" xfId="2" applyNumberFormat="1" applyFont="1" applyFill="1"/>
    <xf numFmtId="164" fontId="69" fillId="28" borderId="0" xfId="3" applyNumberFormat="1" applyFont="1" applyFill="1"/>
    <xf numFmtId="166" fontId="69" fillId="0" borderId="0" xfId="0" applyNumberFormat="1" applyFont="1" applyFill="1"/>
    <xf numFmtId="166" fontId="70" fillId="0" borderId="0" xfId="0" applyNumberFormat="1" applyFont="1" applyFill="1"/>
    <xf numFmtId="0" fontId="70" fillId="0" borderId="0" xfId="0" applyFont="1" applyFill="1" applyAlignment="1">
      <alignment horizontal="left"/>
    </xf>
    <xf numFmtId="0" fontId="68" fillId="0" borderId="0" xfId="0" applyFont="1" applyFill="1" applyAlignment="1">
      <alignment horizontal="left"/>
    </xf>
    <xf numFmtId="166" fontId="68" fillId="0" borderId="18" xfId="1" applyNumberFormat="1" applyFont="1" applyFill="1" applyBorder="1"/>
    <xf numFmtId="166" fontId="68" fillId="28" borderId="18" xfId="1" applyNumberFormat="1" applyFont="1" applyFill="1" applyBorder="1"/>
    <xf numFmtId="164" fontId="68" fillId="28" borderId="18" xfId="3" applyNumberFormat="1" applyFont="1" applyFill="1" applyBorder="1"/>
    <xf numFmtId="166" fontId="69" fillId="0" borderId="0" xfId="1" applyNumberFormat="1" applyFont="1" applyFill="1" applyBorder="1"/>
    <xf numFmtId="166" fontId="69" fillId="28" borderId="0" xfId="1" applyNumberFormat="1" applyFont="1" applyFill="1" applyBorder="1"/>
    <xf numFmtId="164" fontId="69" fillId="28" borderId="0" xfId="3" applyNumberFormat="1" applyFont="1" applyFill="1" applyBorder="1"/>
    <xf numFmtId="166" fontId="69" fillId="0" borderId="2" xfId="1" applyNumberFormat="1" applyFont="1" applyFill="1" applyBorder="1"/>
    <xf numFmtId="166" fontId="69" fillId="28" borderId="2" xfId="1" applyNumberFormat="1" applyFont="1" applyFill="1" applyBorder="1"/>
    <xf numFmtId="164" fontId="69" fillId="28" borderId="2" xfId="3" applyNumberFormat="1" applyFont="1" applyFill="1" applyBorder="1"/>
    <xf numFmtId="166" fontId="68" fillId="0" borderId="2" xfId="1" applyNumberFormat="1" applyFont="1" applyFill="1" applyBorder="1"/>
    <xf numFmtId="166" fontId="68" fillId="28" borderId="2" xfId="1" applyNumberFormat="1" applyFont="1" applyFill="1" applyBorder="1"/>
    <xf numFmtId="164" fontId="68" fillId="28" borderId="2" xfId="3" applyNumberFormat="1" applyFont="1" applyFill="1" applyBorder="1"/>
    <xf numFmtId="166" fontId="71" fillId="0" borderId="2" xfId="1" applyNumberFormat="1" applyFont="1" applyFill="1" applyBorder="1"/>
    <xf numFmtId="166" fontId="71" fillId="28" borderId="2" xfId="1" applyNumberFormat="1" applyFont="1" applyFill="1" applyBorder="1"/>
    <xf numFmtId="164" fontId="71" fillId="28" borderId="2" xfId="3" applyNumberFormat="1" applyFont="1" applyFill="1" applyBorder="1"/>
    <xf numFmtId="0" fontId="69" fillId="0" borderId="0" xfId="0" applyFont="1" applyFill="1" applyAlignment="1">
      <alignment horizontal="center"/>
    </xf>
    <xf numFmtId="164" fontId="69" fillId="0" borderId="0" xfId="3" applyNumberFormat="1" applyFont="1" applyFill="1"/>
    <xf numFmtId="166" fontId="69" fillId="0" borderId="0" xfId="1" applyNumberFormat="1" applyFont="1" applyFill="1"/>
    <xf numFmtId="0" fontId="68" fillId="0" borderId="0" xfId="0" applyFont="1" applyFill="1" applyBorder="1" applyAlignment="1">
      <alignment horizontal="left"/>
    </xf>
    <xf numFmtId="0" fontId="69" fillId="0" borderId="0" xfId="0" applyFont="1" applyFill="1" applyAlignment="1">
      <alignment wrapText="1"/>
    </xf>
    <xf numFmtId="0" fontId="70" fillId="0" borderId="0" xfId="0" applyFont="1" applyFill="1"/>
    <xf numFmtId="0" fontId="68" fillId="0" borderId="0" xfId="0" applyFont="1" applyFill="1" applyAlignment="1">
      <alignment vertical="top"/>
    </xf>
    <xf numFmtId="166" fontId="68" fillId="0" borderId="0" xfId="1" applyNumberFormat="1" applyFont="1" applyFill="1" applyAlignment="1">
      <alignment vertical="top"/>
    </xf>
    <xf numFmtId="166" fontId="68" fillId="28" borderId="0" xfId="1" applyNumberFormat="1" applyFont="1" applyFill="1" applyAlignment="1">
      <alignment vertical="top"/>
    </xf>
    <xf numFmtId="164" fontId="68" fillId="28" borderId="0" xfId="3" applyNumberFormat="1" applyFont="1" applyFill="1" applyAlignment="1">
      <alignment vertical="top"/>
    </xf>
    <xf numFmtId="166" fontId="68" fillId="0" borderId="0" xfId="1" applyNumberFormat="1" applyFont="1" applyFill="1"/>
    <xf numFmtId="166" fontId="68" fillId="28" borderId="0" xfId="1" applyNumberFormat="1" applyFont="1" applyFill="1"/>
    <xf numFmtId="164" fontId="68" fillId="28" borderId="0" xfId="3" applyNumberFormat="1" applyFont="1" applyFill="1"/>
    <xf numFmtId="0" fontId="68" fillId="0" borderId="0" xfId="0" applyFont="1" applyFill="1" applyAlignment="1">
      <alignment wrapText="1"/>
    </xf>
    <xf numFmtId="166" fontId="68" fillId="0" borderId="38" xfId="1" applyNumberFormat="1" applyFont="1" applyFill="1" applyBorder="1"/>
    <xf numFmtId="166" fontId="68" fillId="28" borderId="38" xfId="1" applyNumberFormat="1" applyFont="1" applyFill="1" applyBorder="1"/>
    <xf numFmtId="9" fontId="68" fillId="28" borderId="38" xfId="3" applyFont="1" applyFill="1" applyBorder="1"/>
    <xf numFmtId="164" fontId="0" fillId="0" borderId="0" xfId="3" applyNumberFormat="1" applyFont="1"/>
    <xf numFmtId="0" fontId="69" fillId="30" borderId="0" xfId="0" applyFont="1" applyFill="1"/>
    <xf numFmtId="166" fontId="0" fillId="30" borderId="0" xfId="0" applyNumberFormat="1" applyFill="1"/>
    <xf numFmtId="0" fontId="0" fillId="30" borderId="0" xfId="0" applyFill="1"/>
    <xf numFmtId="164" fontId="0" fillId="30" borderId="0" xfId="3" applyNumberFormat="1" applyFont="1" applyFill="1"/>
    <xf numFmtId="0" fontId="72" fillId="31" borderId="0" xfId="0" applyFont="1" applyFill="1"/>
    <xf numFmtId="0" fontId="0" fillId="21" borderId="0" xfId="0" applyFill="1"/>
    <xf numFmtId="164" fontId="0" fillId="21" borderId="0" xfId="3" applyNumberFormat="1" applyFont="1" applyFill="1"/>
    <xf numFmtId="0" fontId="9" fillId="0" borderId="0" xfId="0" applyFont="1" applyFill="1"/>
    <xf numFmtId="165" fontId="9" fillId="0" borderId="0" xfId="0" applyNumberFormat="1" applyFont="1"/>
    <xf numFmtId="164" fontId="9" fillId="0" borderId="0" xfId="3" applyNumberFormat="1" applyFont="1"/>
    <xf numFmtId="43" fontId="9" fillId="29" borderId="0" xfId="0" applyNumberFormat="1" applyFont="1" applyFill="1"/>
    <xf numFmtId="0" fontId="9" fillId="20" borderId="0" xfId="0" applyFont="1" applyFill="1"/>
    <xf numFmtId="43" fontId="9" fillId="20" borderId="0" xfId="0" applyNumberFormat="1" applyFont="1" applyFill="1"/>
    <xf numFmtId="164" fontId="9" fillId="20" borderId="0" xfId="3" applyNumberFormat="1" applyFont="1" applyFill="1"/>
    <xf numFmtId="43" fontId="9" fillId="0" borderId="0" xfId="0" applyNumberFormat="1" applyFont="1" applyFill="1"/>
    <xf numFmtId="0" fontId="10" fillId="0" borderId="0" xfId="0" applyFont="1" applyFill="1"/>
    <xf numFmtId="0" fontId="9" fillId="0" borderId="0" xfId="0" applyFont="1" applyFill="1" applyAlignment="1">
      <alignment horizontal="center" wrapText="1"/>
    </xf>
    <xf numFmtId="0" fontId="3" fillId="0" borderId="14" xfId="0" applyFont="1" applyBorder="1"/>
    <xf numFmtId="17" fontId="0" fillId="0" borderId="34" xfId="0" applyNumberFormat="1" applyBorder="1" applyAlignment="1">
      <alignment wrapText="1"/>
    </xf>
    <xf numFmtId="14" fontId="0" fillId="0" borderId="34" xfId="0" applyNumberFormat="1" applyBorder="1"/>
    <xf numFmtId="0" fontId="0" fillId="0" borderId="34" xfId="0" applyBorder="1"/>
    <xf numFmtId="164" fontId="0" fillId="0" borderId="0" xfId="3" applyNumberFormat="1" applyFont="1" applyBorder="1"/>
    <xf numFmtId="0" fontId="0" fillId="29" borderId="0" xfId="0" applyFill="1"/>
    <xf numFmtId="172" fontId="0" fillId="0" borderId="0" xfId="1" applyNumberFormat="1" applyFont="1"/>
    <xf numFmtId="0" fontId="0" fillId="20" borderId="0" xfId="0" applyFill="1"/>
    <xf numFmtId="164" fontId="0" fillId="20" borderId="0" xfId="3" applyNumberFormat="1" applyFont="1" applyFill="1"/>
    <xf numFmtId="14" fontId="0" fillId="0" borderId="0" xfId="0" applyNumberFormat="1"/>
    <xf numFmtId="173" fontId="0" fillId="20" borderId="0" xfId="0" applyNumberFormat="1" applyFill="1"/>
    <xf numFmtId="173" fontId="0" fillId="0" borderId="0" xfId="0" applyNumberFormat="1"/>
    <xf numFmtId="0" fontId="3" fillId="0" borderId="0" xfId="0" applyFont="1"/>
    <xf numFmtId="166" fontId="0" fillId="0" borderId="14" xfId="1" applyNumberFormat="1" applyFont="1" applyBorder="1"/>
    <xf numFmtId="43" fontId="0" fillId="0" borderId="0" xfId="0" applyNumberFormat="1"/>
    <xf numFmtId="43" fontId="3" fillId="0" borderId="0" xfId="1" applyFont="1"/>
    <xf numFmtId="166" fontId="67" fillId="0" borderId="0" xfId="1" applyNumberFormat="1" applyFont="1"/>
    <xf numFmtId="166" fontId="0" fillId="20" borderId="0" xfId="1" applyNumberFormat="1" applyFont="1" applyFill="1"/>
    <xf numFmtId="174" fontId="3" fillId="9" borderId="0" xfId="1" applyNumberFormat="1" applyFont="1" applyFill="1"/>
    <xf numFmtId="0" fontId="11" fillId="0" borderId="0" xfId="0" applyFont="1" applyFill="1"/>
    <xf numFmtId="164" fontId="0" fillId="0" borderId="0" xfId="3" applyNumberFormat="1" applyFont="1" applyFill="1" applyAlignment="1">
      <alignment horizontal="center"/>
    </xf>
    <xf numFmtId="164" fontId="0" fillId="5" borderId="0" xfId="3" applyNumberFormat="1" applyFont="1" applyFill="1" applyBorder="1" applyAlignment="1">
      <alignment horizontal="left"/>
    </xf>
    <xf numFmtId="0" fontId="0" fillId="22" borderId="4" xfId="0" applyFont="1" applyFill="1" applyBorder="1" applyAlignment="1">
      <alignment horizontal="left"/>
    </xf>
    <xf numFmtId="165" fontId="0" fillId="22" borderId="4" xfId="0" applyNumberFormat="1" applyFill="1" applyBorder="1"/>
    <xf numFmtId="164" fontId="0" fillId="22" borderId="4" xfId="3" applyNumberFormat="1" applyFont="1" applyFill="1" applyBorder="1"/>
    <xf numFmtId="0" fontId="7" fillId="22" borderId="0" xfId="0" applyFont="1" applyFill="1"/>
    <xf numFmtId="165" fontId="48" fillId="22" borderId="0" xfId="0" applyNumberFormat="1" applyFont="1" applyFill="1"/>
    <xf numFmtId="166" fontId="48" fillId="22" borderId="0" xfId="0" applyNumberFormat="1" applyFont="1" applyFill="1"/>
    <xf numFmtId="0" fontId="7" fillId="22" borderId="0" xfId="0" applyFont="1" applyFill="1" applyAlignment="1">
      <alignment horizontal="center"/>
    </xf>
    <xf numFmtId="0" fontId="7" fillId="22" borderId="0" xfId="0" applyFont="1" applyFill="1" applyAlignment="1">
      <alignment horizontal="left"/>
    </xf>
    <xf numFmtId="166" fontId="31" fillId="22" borderId="4" xfId="1" applyNumberFormat="1" applyFont="1" applyFill="1" applyBorder="1"/>
    <xf numFmtId="9" fontId="5" fillId="0" borderId="4" xfId="3" applyFont="1" applyFill="1" applyBorder="1"/>
    <xf numFmtId="10" fontId="6" fillId="0" borderId="4" xfId="3" applyNumberFormat="1" applyFont="1" applyBorder="1"/>
    <xf numFmtId="0" fontId="5" fillId="0" borderId="0" xfId="5" applyFont="1" applyFill="1"/>
    <xf numFmtId="0" fontId="6" fillId="0" borderId="0" xfId="5" applyFont="1" applyFill="1"/>
    <xf numFmtId="166" fontId="5" fillId="0" borderId="0" xfId="1" applyNumberFormat="1" applyFont="1" applyFill="1"/>
    <xf numFmtId="167" fontId="5" fillId="0" borderId="0" xfId="5" applyNumberFormat="1" applyFill="1"/>
    <xf numFmtId="166" fontId="5" fillId="0" borderId="0" xfId="5" applyNumberFormat="1" applyFill="1"/>
    <xf numFmtId="9" fontId="5" fillId="0" borderId="0" xfId="3" applyFont="1" applyFill="1"/>
    <xf numFmtId="44" fontId="32" fillId="5" borderId="0" xfId="2" applyFont="1" applyFill="1" applyBorder="1"/>
    <xf numFmtId="166" fontId="2" fillId="0" borderId="0" xfId="1" applyNumberFormat="1" applyFont="1" applyFill="1"/>
    <xf numFmtId="165" fontId="5" fillId="9" borderId="4" xfId="3" applyNumberFormat="1" applyFont="1" applyFill="1" applyBorder="1"/>
    <xf numFmtId="0" fontId="6" fillId="9" borderId="4" xfId="5" applyFont="1" applyFill="1" applyBorder="1" applyAlignment="1">
      <alignment horizontal="center" wrapText="1"/>
    </xf>
    <xf numFmtId="166" fontId="41" fillId="9" borderId="4" xfId="1" applyNumberFormat="1" applyFont="1" applyFill="1" applyBorder="1"/>
    <xf numFmtId="44" fontId="5" fillId="9" borderId="4" xfId="2" applyFont="1" applyFill="1" applyBorder="1"/>
    <xf numFmtId="0" fontId="0" fillId="0" borderId="0" xfId="0" applyFont="1" applyAlignment="1">
      <alignment horizontal="left" vertical="center" wrapText="1"/>
    </xf>
    <xf numFmtId="0" fontId="11"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3" fillId="0" borderId="0" xfId="0" applyFont="1" applyAlignment="1">
      <alignment horizontal="center"/>
    </xf>
    <xf numFmtId="0" fontId="15" fillId="8" borderId="1" xfId="5" applyFont="1" applyFill="1" applyBorder="1" applyAlignment="1">
      <alignment horizontal="center"/>
    </xf>
    <xf numFmtId="0" fontId="15" fillId="8" borderId="2" xfId="5" applyFont="1" applyFill="1" applyBorder="1" applyAlignment="1">
      <alignment horizontal="center"/>
    </xf>
    <xf numFmtId="0" fontId="15" fillId="8" borderId="3" xfId="5" applyFont="1" applyFill="1" applyBorder="1" applyAlignment="1">
      <alignment horizontal="center"/>
    </xf>
    <xf numFmtId="0" fontId="15" fillId="7" borderId="1" xfId="5" applyFont="1" applyFill="1" applyBorder="1" applyAlignment="1">
      <alignment horizontal="center"/>
    </xf>
    <xf numFmtId="0" fontId="15" fillId="7" borderId="2" xfId="5" applyFont="1" applyFill="1" applyBorder="1" applyAlignment="1">
      <alignment horizontal="center"/>
    </xf>
    <xf numFmtId="0" fontId="15" fillId="7" borderId="3" xfId="5" applyFont="1" applyFill="1" applyBorder="1" applyAlignment="1">
      <alignment horizontal="center"/>
    </xf>
    <xf numFmtId="0" fontId="11" fillId="6" borderId="1" xfId="0" applyFont="1" applyFill="1" applyBorder="1" applyAlignment="1">
      <alignment horizontal="center"/>
    </xf>
    <xf numFmtId="0" fontId="11" fillId="6" borderId="2" xfId="0" applyFont="1" applyFill="1" applyBorder="1" applyAlignment="1">
      <alignment horizontal="center"/>
    </xf>
    <xf numFmtId="0" fontId="11" fillId="6" borderId="3" xfId="0" applyFont="1" applyFill="1" applyBorder="1" applyAlignment="1">
      <alignment horizontal="center"/>
    </xf>
    <xf numFmtId="0" fontId="0" fillId="5" borderId="17" xfId="0" applyFill="1" applyBorder="1" applyAlignment="1">
      <alignment horizontal="center" wrapText="1"/>
    </xf>
    <xf numFmtId="166" fontId="20" fillId="0" borderId="0" xfId="1" applyNumberFormat="1" applyFont="1" applyFill="1" applyBorder="1" applyAlignment="1">
      <alignment horizontal="center"/>
    </xf>
    <xf numFmtId="166" fontId="20" fillId="0" borderId="0" xfId="1" quotePrefix="1" applyNumberFormat="1" applyFont="1" applyFill="1" applyBorder="1" applyAlignment="1">
      <alignment horizontal="center"/>
    </xf>
    <xf numFmtId="166" fontId="20" fillId="0" borderId="36" xfId="1" quotePrefix="1" applyNumberFormat="1" applyFont="1" applyFill="1" applyBorder="1" applyAlignment="1">
      <alignment horizontal="center"/>
    </xf>
    <xf numFmtId="166" fontId="20" fillId="0" borderId="23" xfId="1" quotePrefix="1" applyNumberFormat="1" applyFont="1" applyFill="1" applyBorder="1" applyAlignment="1">
      <alignment horizontal="center"/>
    </xf>
    <xf numFmtId="0" fontId="25" fillId="0" borderId="0" xfId="5" applyFont="1" applyAlignment="1">
      <alignment horizontal="left" wrapText="1"/>
    </xf>
    <xf numFmtId="0" fontId="12" fillId="8" borderId="1" xfId="5" applyFont="1" applyFill="1" applyBorder="1" applyAlignment="1">
      <alignment horizontal="center"/>
    </xf>
    <xf numFmtId="0" fontId="12" fillId="8" borderId="2" xfId="5" applyFont="1" applyFill="1" applyBorder="1" applyAlignment="1">
      <alignment horizontal="center"/>
    </xf>
    <xf numFmtId="0" fontId="12" fillId="8" borderId="3" xfId="5" applyFont="1" applyFill="1" applyBorder="1" applyAlignment="1">
      <alignment horizontal="center"/>
    </xf>
    <xf numFmtId="0" fontId="12" fillId="2" borderId="1" xfId="5" applyFont="1" applyFill="1" applyBorder="1" applyAlignment="1">
      <alignment horizontal="center"/>
    </xf>
    <xf numFmtId="0" fontId="12" fillId="2" borderId="2" xfId="5" applyFont="1" applyFill="1" applyBorder="1" applyAlignment="1">
      <alignment horizontal="center"/>
    </xf>
    <xf numFmtId="0" fontId="12" fillId="2" borderId="3" xfId="5" applyFont="1" applyFill="1" applyBorder="1" applyAlignment="1">
      <alignment horizontal="center"/>
    </xf>
    <xf numFmtId="0" fontId="32" fillId="9" borderId="4" xfId="5" applyFont="1" applyFill="1" applyBorder="1" applyAlignment="1">
      <alignment horizontal="left" wrapText="1"/>
    </xf>
    <xf numFmtId="0" fontId="5" fillId="10" borderId="1" xfId="5" applyFill="1" applyBorder="1" applyAlignment="1">
      <alignment horizontal="left" vertical="center" wrapText="1"/>
    </xf>
    <xf numFmtId="0" fontId="5" fillId="10" borderId="2" xfId="5" applyFill="1" applyBorder="1" applyAlignment="1">
      <alignment horizontal="left" vertical="center" wrapText="1"/>
    </xf>
    <xf numFmtId="0" fontId="5" fillId="10" borderId="3" xfId="5" applyFill="1" applyBorder="1" applyAlignment="1">
      <alignment horizontal="left" vertical="center" wrapText="1"/>
    </xf>
    <xf numFmtId="0" fontId="6" fillId="2" borderId="1" xfId="5" applyFont="1" applyFill="1" applyBorder="1" applyAlignment="1">
      <alignment horizontal="center"/>
    </xf>
    <xf numFmtId="0" fontId="6" fillId="2" borderId="2" xfId="5" applyFont="1" applyFill="1" applyBorder="1" applyAlignment="1">
      <alignment horizontal="center"/>
    </xf>
    <xf numFmtId="0" fontId="6" fillId="2" borderId="3" xfId="5" applyFont="1" applyFill="1" applyBorder="1" applyAlignment="1">
      <alignment horizontal="center"/>
    </xf>
    <xf numFmtId="0" fontId="6" fillId="0" borderId="1" xfId="5" applyFont="1" applyBorder="1" applyAlignment="1">
      <alignment horizontal="center" wrapText="1"/>
    </xf>
    <xf numFmtId="0" fontId="6" fillId="0" borderId="3" xfId="5" applyFont="1" applyBorder="1" applyAlignment="1">
      <alignment horizontal="center" wrapText="1"/>
    </xf>
    <xf numFmtId="0" fontId="5" fillId="10" borderId="1" xfId="5" applyFill="1" applyBorder="1" applyAlignment="1">
      <alignment horizontal="left"/>
    </xf>
    <xf numFmtId="0" fontId="5" fillId="10" borderId="2" xfId="5" applyFill="1" applyBorder="1" applyAlignment="1">
      <alignment horizontal="left"/>
    </xf>
    <xf numFmtId="0" fontId="5" fillId="10" borderId="3" xfId="5" applyFill="1" applyBorder="1" applyAlignment="1">
      <alignment horizontal="left"/>
    </xf>
    <xf numFmtId="0" fontId="6" fillId="0" borderId="1" xfId="5" applyFont="1" applyBorder="1" applyAlignment="1">
      <alignment horizontal="center" vertical="center" wrapText="1"/>
    </xf>
    <xf numFmtId="0" fontId="6" fillId="0" borderId="3" xfId="5" applyFont="1" applyBorder="1" applyAlignment="1">
      <alignment horizontal="center" vertical="center" wrapText="1"/>
    </xf>
    <xf numFmtId="0" fontId="6" fillId="0" borderId="0" xfId="5" applyFont="1" applyAlignment="1">
      <alignment horizontal="center"/>
    </xf>
    <xf numFmtId="0" fontId="15" fillId="13" borderId="1" xfId="5" applyFont="1" applyFill="1" applyBorder="1" applyAlignment="1">
      <alignment horizontal="center"/>
    </xf>
    <xf numFmtId="0" fontId="15" fillId="13" borderId="2" xfId="5" applyFont="1" applyFill="1" applyBorder="1" applyAlignment="1">
      <alignment horizontal="center"/>
    </xf>
    <xf numFmtId="0" fontId="15" fillId="13" borderId="3" xfId="5" applyFont="1" applyFill="1" applyBorder="1" applyAlignment="1">
      <alignment horizontal="center"/>
    </xf>
    <xf numFmtId="0" fontId="5" fillId="0" borderId="0" xfId="5" applyFont="1" applyAlignment="1">
      <alignment vertical="center" wrapText="1"/>
    </xf>
    <xf numFmtId="0" fontId="12" fillId="7" borderId="1" xfId="5" applyFont="1" applyFill="1" applyBorder="1" applyAlignment="1">
      <alignment horizontal="center"/>
    </xf>
    <xf numFmtId="0" fontId="12" fillId="7" borderId="2" xfId="5" applyFont="1" applyFill="1" applyBorder="1" applyAlignment="1">
      <alignment horizontal="center"/>
    </xf>
    <xf numFmtId="0" fontId="12" fillId="7" borderId="3" xfId="5" applyFont="1" applyFill="1" applyBorder="1" applyAlignment="1">
      <alignment horizontal="center"/>
    </xf>
    <xf numFmtId="0" fontId="6" fillId="3" borderId="4" xfId="5" applyFont="1" applyFill="1" applyBorder="1" applyAlignment="1">
      <alignment horizontal="center" wrapText="1"/>
    </xf>
    <xf numFmtId="0" fontId="6" fillId="3" borderId="4" xfId="5" applyFont="1" applyFill="1" applyBorder="1" applyAlignment="1">
      <alignment horizontal="center"/>
    </xf>
    <xf numFmtId="0" fontId="0" fillId="9" borderId="0" xfId="0" applyFill="1" applyAlignment="1">
      <alignment horizontal="center"/>
    </xf>
    <xf numFmtId="0" fontId="7" fillId="8" borderId="1" xfId="0" applyFont="1" applyFill="1" applyBorder="1" applyAlignment="1">
      <alignment horizontal="center"/>
    </xf>
    <xf numFmtId="0" fontId="7" fillId="8" borderId="2" xfId="0" applyFont="1" applyFill="1" applyBorder="1" applyAlignment="1">
      <alignment horizontal="center"/>
    </xf>
    <xf numFmtId="0" fontId="7" fillId="8" borderId="3" xfId="0" applyFont="1" applyFill="1" applyBorder="1" applyAlignment="1">
      <alignment horizontal="center"/>
    </xf>
    <xf numFmtId="0" fontId="0" fillId="0" borderId="14" xfId="0" applyBorder="1" applyAlignment="1">
      <alignment horizontal="center" vertical="center"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20" fillId="11" borderId="1" xfId="1" applyNumberFormat="1" applyFont="1" applyFill="1" applyBorder="1" applyAlignment="1">
      <alignment horizontal="center" wrapText="1"/>
    </xf>
    <xf numFmtId="0" fontId="20" fillId="11" borderId="2" xfId="1" applyNumberFormat="1" applyFont="1" applyFill="1" applyBorder="1" applyAlignment="1">
      <alignment horizontal="center" wrapText="1"/>
    </xf>
    <xf numFmtId="0" fontId="20" fillId="11" borderId="3" xfId="1" applyNumberFormat="1" applyFont="1" applyFill="1" applyBorder="1" applyAlignment="1">
      <alignment horizontal="center" wrapText="1"/>
    </xf>
    <xf numFmtId="0" fontId="22" fillId="0" borderId="23" xfId="1" applyNumberFormat="1" applyFont="1" applyFill="1" applyBorder="1" applyAlignment="1">
      <alignment horizontal="center"/>
    </xf>
    <xf numFmtId="0" fontId="22" fillId="0" borderId="0" xfId="1" applyNumberFormat="1" applyFont="1" applyFill="1" applyBorder="1" applyAlignment="1">
      <alignment horizontal="center"/>
    </xf>
    <xf numFmtId="0" fontId="20" fillId="8" borderId="1" xfId="5" applyFont="1" applyFill="1" applyBorder="1" applyAlignment="1">
      <alignment horizontal="center"/>
    </xf>
    <xf numFmtId="0" fontId="20" fillId="8" borderId="2" xfId="5" applyFont="1" applyFill="1" applyBorder="1" applyAlignment="1">
      <alignment horizontal="center"/>
    </xf>
    <xf numFmtId="0" fontId="20" fillId="8" borderId="3" xfId="5" applyFont="1" applyFill="1" applyBorder="1" applyAlignment="1">
      <alignment horizontal="center"/>
    </xf>
    <xf numFmtId="0" fontId="20" fillId="0" borderId="0" xfId="5" applyFont="1" applyAlignment="1">
      <alignment horizontal="center"/>
    </xf>
    <xf numFmtId="0" fontId="28" fillId="7" borderId="1" xfId="5" applyFont="1" applyFill="1" applyBorder="1" applyAlignment="1">
      <alignment horizontal="center"/>
    </xf>
    <xf numFmtId="0" fontId="28" fillId="7" borderId="2" xfId="5" applyFont="1" applyFill="1" applyBorder="1" applyAlignment="1">
      <alignment horizontal="center"/>
    </xf>
    <xf numFmtId="0" fontId="28" fillId="7" borderId="3" xfId="5" applyFont="1" applyFill="1" applyBorder="1" applyAlignment="1">
      <alignment horizontal="center"/>
    </xf>
    <xf numFmtId="0" fontId="9" fillId="0" borderId="0" xfId="5" applyFont="1" applyAlignment="1">
      <alignment horizontal="left" wrapText="1"/>
    </xf>
    <xf numFmtId="0" fontId="10" fillId="0" borderId="0" xfId="5" applyFont="1" applyAlignment="1">
      <alignment horizontal="center"/>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9" fillId="9" borderId="0" xfId="5" applyFont="1" applyFill="1" applyAlignment="1">
      <alignment horizontal="center" vertical="top"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13" fillId="0" borderId="0" xfId="0" applyFont="1" applyAlignment="1">
      <alignment horizontal="center"/>
    </xf>
    <xf numFmtId="0" fontId="10" fillId="8" borderId="0" xfId="0" applyFont="1" applyFill="1" applyAlignment="1">
      <alignment horizontal="center"/>
    </xf>
    <xf numFmtId="0" fontId="14" fillId="0" borderId="14" xfId="0" applyFont="1" applyBorder="1" applyAlignment="1">
      <alignment horizontal="center" wrapText="1"/>
    </xf>
    <xf numFmtId="164" fontId="26" fillId="9" borderId="4" xfId="3" applyNumberFormat="1" applyFont="1" applyFill="1" applyBorder="1"/>
  </cellXfs>
  <cellStyles count="9">
    <cellStyle name="Comma" xfId="1" builtinId="3"/>
    <cellStyle name="Comma 2" xfId="7" xr:uid="{112CFAA7-624C-4552-8F74-E1A4E4EAF61C}"/>
    <cellStyle name="Currency" xfId="2" builtinId="4"/>
    <cellStyle name="Hyperlink" xfId="4" builtinId="8"/>
    <cellStyle name="Hyperlink 2" xfId="6" xr:uid="{F6922A4B-973E-4870-A963-CC81817AD9EE}"/>
    <cellStyle name="Normal" xfId="0" builtinId="0"/>
    <cellStyle name="Normal 2" xfId="5" xr:uid="{C3FDC763-6463-43D6-BFD0-98B707717801}"/>
    <cellStyle name="Normal 76" xfId="8" xr:uid="{0608025E-48C9-4113-B34D-05D7BC847D9F}"/>
    <cellStyle name="Percent" xfId="3" builtinId="5"/>
  </cellStyles>
  <dxfs count="0"/>
  <tableStyles count="0" defaultTableStyle="TableStyleMedium2" defaultPivotStyle="PivotStyleLight16"/>
  <colors>
    <mruColors>
      <color rgb="FFCC99FF"/>
      <color rgb="FF0033CC"/>
      <color rgb="FFF3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438150</xdr:colOff>
      <xdr:row>42</xdr:row>
      <xdr:rowOff>161925</xdr:rowOff>
    </xdr:from>
    <xdr:to>
      <xdr:col>6</xdr:col>
      <xdr:colOff>762000</xdr:colOff>
      <xdr:row>46</xdr:row>
      <xdr:rowOff>95250</xdr:rowOff>
    </xdr:to>
    <xdr:sp macro="" textlink="">
      <xdr:nvSpPr>
        <xdr:cNvPr id="2" name="TextBox 1">
          <a:extLst>
            <a:ext uri="{FF2B5EF4-FFF2-40B4-BE49-F238E27FC236}">
              <a16:creationId xmlns:a16="http://schemas.microsoft.com/office/drawing/2014/main" id="{7629AC7A-8BCC-4174-A943-AAC5F913D126}"/>
            </a:ext>
          </a:extLst>
        </xdr:cNvPr>
        <xdr:cNvSpPr txBox="1"/>
      </xdr:nvSpPr>
      <xdr:spPr>
        <a:xfrm>
          <a:off x="8797290" y="8833485"/>
          <a:ext cx="1581150" cy="66484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Kayda</a:t>
          </a:r>
        </a:p>
      </xdr:txBody>
    </xdr:sp>
    <xdr:clientData/>
  </xdr:twoCellAnchor>
  <xdr:twoCellAnchor>
    <xdr:from>
      <xdr:col>5</xdr:col>
      <xdr:colOff>438150</xdr:colOff>
      <xdr:row>42</xdr:row>
      <xdr:rowOff>161925</xdr:rowOff>
    </xdr:from>
    <xdr:to>
      <xdr:col>6</xdr:col>
      <xdr:colOff>762000</xdr:colOff>
      <xdr:row>46</xdr:row>
      <xdr:rowOff>95250</xdr:rowOff>
    </xdr:to>
    <xdr:sp macro="" textlink="">
      <xdr:nvSpPr>
        <xdr:cNvPr id="3" name="TextBox 2">
          <a:extLst>
            <a:ext uri="{FF2B5EF4-FFF2-40B4-BE49-F238E27FC236}">
              <a16:creationId xmlns:a16="http://schemas.microsoft.com/office/drawing/2014/main" id="{70D8AC41-8938-4F97-A7A8-69C1ACFAF520}"/>
            </a:ext>
          </a:extLst>
        </xdr:cNvPr>
        <xdr:cNvSpPr txBox="1"/>
      </xdr:nvSpPr>
      <xdr:spPr>
        <a:xfrm>
          <a:off x="8797290" y="8833485"/>
          <a:ext cx="1581150" cy="66484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438150</xdr:colOff>
      <xdr:row>42</xdr:row>
      <xdr:rowOff>161925</xdr:rowOff>
    </xdr:from>
    <xdr:to>
      <xdr:col>6</xdr:col>
      <xdr:colOff>762000</xdr:colOff>
      <xdr:row>46</xdr:row>
      <xdr:rowOff>95250</xdr:rowOff>
    </xdr:to>
    <xdr:sp macro="" textlink="">
      <xdr:nvSpPr>
        <xdr:cNvPr id="2" name="TextBox 1">
          <a:extLst>
            <a:ext uri="{FF2B5EF4-FFF2-40B4-BE49-F238E27FC236}">
              <a16:creationId xmlns:a16="http://schemas.microsoft.com/office/drawing/2014/main" id="{DE092243-592B-463D-840D-0B1F93D594FB}"/>
            </a:ext>
          </a:extLst>
        </xdr:cNvPr>
        <xdr:cNvSpPr txBox="1"/>
      </xdr:nvSpPr>
      <xdr:spPr>
        <a:xfrm>
          <a:off x="8562975" y="9124950"/>
          <a:ext cx="1543050" cy="69532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Kayda</a:t>
          </a:r>
        </a:p>
      </xdr:txBody>
    </xdr:sp>
    <xdr:clientData/>
  </xdr:twoCellAnchor>
  <xdr:twoCellAnchor>
    <xdr:from>
      <xdr:col>5</xdr:col>
      <xdr:colOff>438150</xdr:colOff>
      <xdr:row>42</xdr:row>
      <xdr:rowOff>161925</xdr:rowOff>
    </xdr:from>
    <xdr:to>
      <xdr:col>6</xdr:col>
      <xdr:colOff>762000</xdr:colOff>
      <xdr:row>46</xdr:row>
      <xdr:rowOff>95250</xdr:rowOff>
    </xdr:to>
    <xdr:sp macro="" textlink="">
      <xdr:nvSpPr>
        <xdr:cNvPr id="3" name="TextBox 2">
          <a:extLst>
            <a:ext uri="{FF2B5EF4-FFF2-40B4-BE49-F238E27FC236}">
              <a16:creationId xmlns:a16="http://schemas.microsoft.com/office/drawing/2014/main" id="{8282A0E0-FB6C-4454-8A7C-32E4815694ED}"/>
            </a:ext>
          </a:extLst>
        </xdr:cNvPr>
        <xdr:cNvSpPr txBox="1"/>
      </xdr:nvSpPr>
      <xdr:spPr>
        <a:xfrm>
          <a:off x="8562975" y="9124950"/>
          <a:ext cx="1543050" cy="69532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board\boardrept%20COPY%20May2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board\BALSH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1\KABBOT~1.SPR\LOCALS~1\Temp\notesFFF692\OPER%20STM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board\BALSHT09301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2)"/>
      <sheetName val="FY19 BSMAP"/>
      <sheetName val="BSMAP"/>
      <sheetName val="Balance Sheet"/>
      <sheetName val="Operating Statement"/>
      <sheetName val="Cash flows"/>
      <sheetName val="Statistics"/>
      <sheetName val="Dashboard(1)"/>
      <sheetName val="Other Exp"/>
      <sheetName val="Summary"/>
      <sheetName val="RATIOS new"/>
      <sheetName val="DATA"/>
      <sheetName val="Stats2"/>
      <sheetName val="OS2"/>
      <sheetName val="PHYSBUD"/>
      <sheetName val="payormixdata"/>
      <sheetName val="ytdrev"/>
      <sheetName val="currrev"/>
      <sheetName val="History2"/>
      <sheetName val="QTRLY ANALYSIS"/>
    </sheetNames>
    <sheetDataSet>
      <sheetData sheetId="0" refreshError="1"/>
      <sheetData sheetId="1" refreshError="1"/>
      <sheetData sheetId="2" refreshError="1"/>
      <sheetData sheetId="3" refreshError="1"/>
      <sheetData sheetId="4" refreshError="1"/>
      <sheetData sheetId="5" refreshError="1"/>
      <sheetData sheetId="6">
        <row r="11">
          <cell r="L11" t="str">
            <v>OCT</v>
          </cell>
          <cell r="M11">
            <v>31</v>
          </cell>
          <cell r="N11">
            <v>31</v>
          </cell>
        </row>
        <row r="12">
          <cell r="L12" t="str">
            <v>NOV</v>
          </cell>
          <cell r="M12">
            <v>30</v>
          </cell>
          <cell r="N12">
            <v>61</v>
          </cell>
        </row>
        <row r="13">
          <cell r="L13" t="str">
            <v>DEC</v>
          </cell>
          <cell r="M13">
            <v>31</v>
          </cell>
          <cell r="N13">
            <v>92</v>
          </cell>
        </row>
        <row r="14">
          <cell r="L14" t="str">
            <v>JAN</v>
          </cell>
          <cell r="M14">
            <v>31</v>
          </cell>
          <cell r="N14">
            <v>123</v>
          </cell>
        </row>
        <row r="15">
          <cell r="L15" t="str">
            <v>FEB</v>
          </cell>
          <cell r="M15">
            <v>28</v>
          </cell>
          <cell r="N15">
            <v>151</v>
          </cell>
        </row>
        <row r="16">
          <cell r="L16" t="str">
            <v>MAR</v>
          </cell>
          <cell r="M16">
            <v>31</v>
          </cell>
          <cell r="N16">
            <v>182</v>
          </cell>
        </row>
        <row r="17">
          <cell r="L17" t="str">
            <v>APR</v>
          </cell>
          <cell r="M17">
            <v>30</v>
          </cell>
          <cell r="N17">
            <v>212</v>
          </cell>
        </row>
        <row r="18">
          <cell r="L18" t="str">
            <v>MAY</v>
          </cell>
          <cell r="M18">
            <v>31</v>
          </cell>
          <cell r="N18">
            <v>243</v>
          </cell>
        </row>
        <row r="19">
          <cell r="L19" t="str">
            <v>JUN</v>
          </cell>
          <cell r="M19">
            <v>30</v>
          </cell>
          <cell r="N19">
            <v>273</v>
          </cell>
        </row>
        <row r="20">
          <cell r="L20" t="str">
            <v>JUL</v>
          </cell>
          <cell r="M20">
            <v>31</v>
          </cell>
          <cell r="N20">
            <v>304</v>
          </cell>
        </row>
        <row r="22">
          <cell r="L22" t="str">
            <v>AUG</v>
          </cell>
          <cell r="M22">
            <v>31</v>
          </cell>
          <cell r="N22">
            <v>335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URR"/>
      <sheetName val="TB"/>
      <sheetName val="09.30.2014UNAUDITED"/>
      <sheetName val="OCT14"/>
      <sheetName val="NOV"/>
      <sheetName val="DEC14"/>
      <sheetName val="JAN15"/>
    </sheetNames>
    <sheetDataSet>
      <sheetData sheetId="0"/>
      <sheetData sheetId="1"/>
      <sheetData sheetId="2">
        <row r="3">
          <cell r="A3" t="str">
            <v>10000000</v>
          </cell>
          <cell r="B3" t="str">
            <v>GEN CHECKING ACCT CHITT</v>
          </cell>
          <cell r="C3">
            <v>1318270.6399999999</v>
          </cell>
        </row>
        <row r="4">
          <cell r="A4" t="str">
            <v>10001000</v>
          </cell>
          <cell r="B4" t="str">
            <v>GEN CHECKING ACCOUNT/DISBURSE.</v>
          </cell>
          <cell r="C4">
            <v>-459227.08</v>
          </cell>
        </row>
        <row r="5">
          <cell r="A5" t="str">
            <v>10002001</v>
          </cell>
          <cell r="B5" t="str">
            <v>CHECKING ACCT - MEDICAL STAFF</v>
          </cell>
          <cell r="C5">
            <v>9795.06</v>
          </cell>
        </row>
        <row r="6">
          <cell r="A6" t="str">
            <v>10003000</v>
          </cell>
          <cell r="B6" t="str">
            <v>PAYROLL CHECKING ACCOUNT</v>
          </cell>
          <cell r="C6">
            <v>0</v>
          </cell>
        </row>
        <row r="7">
          <cell r="A7" t="str">
            <v>10007000</v>
          </cell>
          <cell r="B7" t="str">
            <v>CHITTENDEN - BOND SINKING FUND</v>
          </cell>
          <cell r="C7">
            <v>71807.649999999994</v>
          </cell>
        </row>
        <row r="8">
          <cell r="A8" t="str">
            <v>10008000</v>
          </cell>
          <cell r="B8" t="str">
            <v>BANKNORTH IMPREST FUND</v>
          </cell>
          <cell r="C8">
            <v>2566.69</v>
          </cell>
        </row>
        <row r="9">
          <cell r="A9" t="str">
            <v>10051000</v>
          </cell>
          <cell r="B9" t="str">
            <v>PETTY CASH - BUS. OFFICE</v>
          </cell>
          <cell r="C9">
            <v>175</v>
          </cell>
        </row>
        <row r="10">
          <cell r="A10" t="str">
            <v>10053015</v>
          </cell>
          <cell r="B10" t="str">
            <v>PETTY CASH ENT</v>
          </cell>
          <cell r="C10">
            <v>100</v>
          </cell>
        </row>
        <row r="11">
          <cell r="A11" t="str">
            <v>10053049</v>
          </cell>
          <cell r="B11" t="str">
            <v>PETTY CASH - SPFLD PT</v>
          </cell>
          <cell r="C11">
            <v>50</v>
          </cell>
        </row>
        <row r="12">
          <cell r="A12" t="str">
            <v>10053057</v>
          </cell>
          <cell r="B12" t="str">
            <v>PETTY CASH-MEDICAL RECORDS</v>
          </cell>
          <cell r="C12">
            <v>50</v>
          </cell>
        </row>
        <row r="13">
          <cell r="A13" t="str">
            <v>10053084</v>
          </cell>
          <cell r="B13" t="str">
            <v>PETTY CASH - BF PT</v>
          </cell>
          <cell r="C13">
            <v>50</v>
          </cell>
        </row>
        <row r="14">
          <cell r="A14" t="str">
            <v>10053089</v>
          </cell>
          <cell r="B14" t="str">
            <v>PETTY CASH - O/P REGISTRATION</v>
          </cell>
          <cell r="C14">
            <v>50</v>
          </cell>
        </row>
        <row r="15">
          <cell r="A15" t="str">
            <v>10060000</v>
          </cell>
          <cell r="B15" t="str">
            <v>DAYTIME CASHIER CHANGE FUND</v>
          </cell>
          <cell r="C15">
            <v>50</v>
          </cell>
        </row>
        <row r="16">
          <cell r="A16" t="str">
            <v>10061000</v>
          </cell>
          <cell r="B16" t="str">
            <v>NIGHT CASHIER CHANGE FUND</v>
          </cell>
          <cell r="C16">
            <v>150</v>
          </cell>
        </row>
        <row r="17">
          <cell r="A17" t="str">
            <v>10100000</v>
          </cell>
          <cell r="B17" t="str">
            <v>INVESTMENTS - VARIOUS</v>
          </cell>
          <cell r="C17">
            <v>9600</v>
          </cell>
        </row>
        <row r="18">
          <cell r="A18" t="str">
            <v>10200000</v>
          </cell>
          <cell r="B18" t="str">
            <v>PATIENT RECEIVABLES</v>
          </cell>
          <cell r="C18">
            <v>15560823.25</v>
          </cell>
        </row>
        <row r="19">
          <cell r="A19" t="str">
            <v>10208000</v>
          </cell>
          <cell r="B19" t="str">
            <v>UNREFUNDABLE PROPERTY</v>
          </cell>
          <cell r="C19">
            <v>-46794.47</v>
          </cell>
        </row>
        <row r="20">
          <cell r="A20" t="str">
            <v>10217000</v>
          </cell>
          <cell r="B20" t="str">
            <v>RESERVE FOR CHARITY CARE</v>
          </cell>
          <cell r="C20">
            <v>-281494</v>
          </cell>
        </row>
        <row r="21">
          <cell r="A21" t="str">
            <v>10217001</v>
          </cell>
          <cell r="B21" t="str">
            <v>ALLOWANCE DOUBT ACCT-RMH-I/P</v>
          </cell>
          <cell r="C21">
            <v>122915.66</v>
          </cell>
        </row>
        <row r="22">
          <cell r="A22" t="str">
            <v>10217002</v>
          </cell>
          <cell r="B22" t="str">
            <v>RESERVE FOR ADMIN. ADJ</v>
          </cell>
          <cell r="C22">
            <v>-202000</v>
          </cell>
        </row>
        <row r="23">
          <cell r="A23" t="str">
            <v>10218001</v>
          </cell>
          <cell r="B23" t="str">
            <v>ALLOWANBCE DOUBT ACCT-RMH-O/P</v>
          </cell>
          <cell r="C23">
            <v>97488.74</v>
          </cell>
        </row>
        <row r="24">
          <cell r="A24" t="str">
            <v>10219000</v>
          </cell>
          <cell r="B24" t="str">
            <v>ALLOWANCE DOUBTFUL ACCT I/P</v>
          </cell>
          <cell r="C24">
            <v>-683629.69</v>
          </cell>
        </row>
        <row r="25">
          <cell r="A25" t="str">
            <v>10220000</v>
          </cell>
          <cell r="B25" t="str">
            <v>ALLOWANCE DOUBTFUL ACCT O/P</v>
          </cell>
          <cell r="C25">
            <v>-214918.78</v>
          </cell>
        </row>
        <row r="26">
          <cell r="A26" t="str">
            <v>10221000</v>
          </cell>
          <cell r="B26" t="str">
            <v>RESV FOR CONTR ALLOW BC</v>
          </cell>
          <cell r="C26">
            <v>-383732</v>
          </cell>
        </row>
        <row r="27">
          <cell r="A27" t="str">
            <v>10222000</v>
          </cell>
          <cell r="B27" t="str">
            <v>RESV FOR CONTR ALLOW MCARE</v>
          </cell>
          <cell r="C27">
            <v>-1999907</v>
          </cell>
        </row>
        <row r="28">
          <cell r="A28" t="str">
            <v>10223000</v>
          </cell>
          <cell r="B28" t="str">
            <v>RESV FOR CONTR ALLOW MCAID</v>
          </cell>
          <cell r="C28">
            <v>-1629595</v>
          </cell>
        </row>
        <row r="29">
          <cell r="A29" t="str">
            <v>10224000</v>
          </cell>
          <cell r="B29" t="str">
            <v>RESV FOR CONTR ALLOW COMMCL</v>
          </cell>
          <cell r="C29">
            <v>-1171032</v>
          </cell>
        </row>
        <row r="30">
          <cell r="A30" t="str">
            <v>10225000</v>
          </cell>
          <cell r="B30" t="str">
            <v>RESERVE FOR PHYS REV ADJ</v>
          </cell>
          <cell r="C30">
            <v>-322104.07</v>
          </cell>
        </row>
        <row r="31">
          <cell r="A31" t="str">
            <v>10258000</v>
          </cell>
          <cell r="B31" t="str">
            <v>PAYROLL ADVANCES</v>
          </cell>
          <cell r="C31">
            <v>-336.42</v>
          </cell>
        </row>
        <row r="32">
          <cell r="A32" t="str">
            <v>10260000</v>
          </cell>
          <cell r="B32" t="str">
            <v>OTHER RECEIVABLES</v>
          </cell>
          <cell r="C32">
            <v>74090.960000000006</v>
          </cell>
        </row>
        <row r="33">
          <cell r="A33" t="str">
            <v>10267000</v>
          </cell>
          <cell r="B33" t="str">
            <v>OTHER RECEIVABLES - NMS</v>
          </cell>
          <cell r="C33">
            <v>-41357.980000000003</v>
          </cell>
        </row>
        <row r="34">
          <cell r="A34" t="str">
            <v>10276000</v>
          </cell>
          <cell r="B34" t="str">
            <v>OTHER RECEIVABLE-SPECIALTY PHY</v>
          </cell>
          <cell r="C34">
            <v>613720.42000000004</v>
          </cell>
        </row>
        <row r="35">
          <cell r="A35" t="str">
            <v>10290000</v>
          </cell>
          <cell r="B35" t="str">
            <v>DUE FR SMCS - PHYSICIAN AR</v>
          </cell>
          <cell r="C35">
            <v>1064.54</v>
          </cell>
        </row>
        <row r="36">
          <cell r="A36" t="str">
            <v>10296000</v>
          </cell>
          <cell r="B36" t="str">
            <v>DUE FROM SMCS</v>
          </cell>
          <cell r="C36">
            <v>157923.01</v>
          </cell>
        </row>
        <row r="37">
          <cell r="A37" t="str">
            <v>10297000</v>
          </cell>
          <cell r="B37" t="str">
            <v>DUE FROM SML (MMS)</v>
          </cell>
          <cell r="C37">
            <v>148</v>
          </cell>
        </row>
        <row r="38">
          <cell r="A38" t="str">
            <v>10300064</v>
          </cell>
          <cell r="B38" t="str">
            <v>INVENTORY</v>
          </cell>
          <cell r="C38">
            <v>3708.05</v>
          </cell>
        </row>
        <row r="39">
          <cell r="A39" t="str">
            <v>10301021</v>
          </cell>
          <cell r="B39" t="str">
            <v>INVENTORY - OR</v>
          </cell>
          <cell r="C39">
            <v>-7751.45</v>
          </cell>
        </row>
        <row r="40">
          <cell r="A40" t="str">
            <v>10301047</v>
          </cell>
          <cell r="B40" t="str">
            <v>INVENTORY - PHARMACY</v>
          </cell>
          <cell r="C40">
            <v>270434.81</v>
          </cell>
        </row>
        <row r="41">
          <cell r="A41" t="str">
            <v>10301064</v>
          </cell>
          <cell r="B41" t="str">
            <v>INVENTORY STOREROOM</v>
          </cell>
          <cell r="C41">
            <v>-53246.34</v>
          </cell>
        </row>
        <row r="42">
          <cell r="A42" t="str">
            <v>10302047</v>
          </cell>
          <cell r="B42" t="str">
            <v>INVENTORY - IV'S</v>
          </cell>
          <cell r="C42">
            <v>977.27</v>
          </cell>
        </row>
        <row r="43">
          <cell r="A43" t="str">
            <v>10302064</v>
          </cell>
          <cell r="B43" t="str">
            <v>INVENTORY - IVS</v>
          </cell>
          <cell r="C43">
            <v>-258.14999999999998</v>
          </cell>
        </row>
        <row r="44">
          <cell r="A44" t="str">
            <v>10400000</v>
          </cell>
          <cell r="B44" t="str">
            <v>PREPAID INSURANCE - CURRENT YR</v>
          </cell>
          <cell r="C44">
            <v>-82421.88</v>
          </cell>
        </row>
        <row r="45">
          <cell r="A45" t="str">
            <v>10470000</v>
          </cell>
          <cell r="B45" t="str">
            <v>PREPAID - OTHER</v>
          </cell>
          <cell r="C45">
            <v>561892.41</v>
          </cell>
        </row>
        <row r="46">
          <cell r="A46" t="str">
            <v>10473000</v>
          </cell>
          <cell r="B46" t="str">
            <v>PREPAID PENSION EXPENSE</v>
          </cell>
          <cell r="C46">
            <v>2509175</v>
          </cell>
        </row>
        <row r="47">
          <cell r="A47" t="str">
            <v>10500000</v>
          </cell>
          <cell r="B47" t="str">
            <v>LAND</v>
          </cell>
          <cell r="C47">
            <v>87157.06</v>
          </cell>
        </row>
        <row r="48">
          <cell r="A48" t="str">
            <v>10510000</v>
          </cell>
          <cell r="B48" t="str">
            <v>LAND IMPROVEMENTS</v>
          </cell>
          <cell r="C48">
            <v>1876118.59</v>
          </cell>
        </row>
        <row r="49">
          <cell r="A49" t="str">
            <v>10530000</v>
          </cell>
          <cell r="B49" t="str">
            <v>BUILDING</v>
          </cell>
          <cell r="C49">
            <v>14098583.52</v>
          </cell>
        </row>
        <row r="50">
          <cell r="A50" t="str">
            <v>10550000</v>
          </cell>
          <cell r="B50" t="str">
            <v>MOTOR VEHICLES</v>
          </cell>
          <cell r="C50">
            <v>85148.33</v>
          </cell>
        </row>
        <row r="51">
          <cell r="A51" t="str">
            <v>10551000</v>
          </cell>
          <cell r="B51" t="str">
            <v>EQUIPMENT FIXED</v>
          </cell>
          <cell r="C51">
            <v>5375896.0499999998</v>
          </cell>
        </row>
        <row r="52">
          <cell r="A52" t="str">
            <v>10552000</v>
          </cell>
          <cell r="B52" t="str">
            <v>EQUIPMENT MAJOR MOVABLE</v>
          </cell>
          <cell r="C52">
            <v>17694166.449999999</v>
          </cell>
        </row>
        <row r="53">
          <cell r="A53" t="str">
            <v>10556000</v>
          </cell>
          <cell r="B53" t="str">
            <v>LEASEHOLD IMPROVEMENTS</v>
          </cell>
          <cell r="C53">
            <v>966627.45</v>
          </cell>
        </row>
        <row r="54">
          <cell r="A54" t="str">
            <v>10557000</v>
          </cell>
          <cell r="B54" t="str">
            <v>EQUIPMENT PURCHASES</v>
          </cell>
          <cell r="C54">
            <v>64332.5</v>
          </cell>
        </row>
        <row r="55">
          <cell r="A55" t="str">
            <v>10560000</v>
          </cell>
          <cell r="B55" t="str">
            <v>CONSTRUCTION IN PROGRESS</v>
          </cell>
          <cell r="C55">
            <v>175470.37</v>
          </cell>
        </row>
        <row r="56">
          <cell r="A56" t="str">
            <v>10610000</v>
          </cell>
          <cell r="B56" t="str">
            <v>ACCUMULATED DEPR. LAND IMPROV.</v>
          </cell>
          <cell r="C56">
            <v>-1234061.24</v>
          </cell>
        </row>
        <row r="57">
          <cell r="A57" t="str">
            <v>10630000</v>
          </cell>
          <cell r="B57" t="str">
            <v>ACCUMULATED DEPRECIATION BLDG</v>
          </cell>
          <cell r="C57">
            <v>-6232074.25</v>
          </cell>
        </row>
        <row r="58">
          <cell r="A58" t="str">
            <v>10650000</v>
          </cell>
          <cell r="B58" t="str">
            <v>ACCUMULATED DEPR MOTOR VEHICLE</v>
          </cell>
          <cell r="C58">
            <v>-54777.4</v>
          </cell>
        </row>
        <row r="59">
          <cell r="A59" t="str">
            <v>10651000</v>
          </cell>
          <cell r="B59" t="str">
            <v>ACCUMULATED DEPR FIXED EQUIP.</v>
          </cell>
          <cell r="C59">
            <v>-4269101.99</v>
          </cell>
        </row>
        <row r="60">
          <cell r="A60" t="str">
            <v>10652000</v>
          </cell>
          <cell r="B60" t="str">
            <v>ACCUM DEPR MAJOR MOVABLE EQUIP</v>
          </cell>
          <cell r="C60">
            <v>-14138897.92</v>
          </cell>
        </row>
        <row r="61">
          <cell r="A61" t="str">
            <v>10656000</v>
          </cell>
          <cell r="B61" t="str">
            <v>ACCUM.DEPRECIATION - LEASEHOLD</v>
          </cell>
          <cell r="C61">
            <v>-500922.2</v>
          </cell>
        </row>
        <row r="62">
          <cell r="A62" t="str">
            <v>10714000</v>
          </cell>
          <cell r="B62" t="str">
            <v>2002 BOND ISSUANCE COSTS</v>
          </cell>
          <cell r="C62">
            <v>144132.79999999999</v>
          </cell>
        </row>
        <row r="63">
          <cell r="A63" t="str">
            <v>10715000</v>
          </cell>
          <cell r="B63" t="str">
            <v>ACC AMORT BOND ISSUE COST 2002</v>
          </cell>
          <cell r="C63">
            <v>-77580.399999999994</v>
          </cell>
        </row>
        <row r="64">
          <cell r="A64" t="str">
            <v>10725000</v>
          </cell>
          <cell r="B64" t="str">
            <v>MORTGAGE RECEIVABLE</v>
          </cell>
          <cell r="C64">
            <v>115484</v>
          </cell>
        </row>
        <row r="65">
          <cell r="A65" t="str">
            <v>10730000</v>
          </cell>
          <cell r="B65" t="str">
            <v>RESTRICTED SPEC PURPOSE</v>
          </cell>
          <cell r="C65">
            <v>159109.91</v>
          </cell>
        </row>
        <row r="66">
          <cell r="A66" t="str">
            <v>10734000</v>
          </cell>
          <cell r="B66" t="str">
            <v>SPRINGFIELD HOSP.INC. - IMA</v>
          </cell>
          <cell r="C66">
            <v>13230312.65</v>
          </cell>
        </row>
        <row r="67">
          <cell r="A67" t="str">
            <v>10735000</v>
          </cell>
          <cell r="B67" t="str">
            <v>SPRINGFIELD HOSP, INC. IMA SUB</v>
          </cell>
          <cell r="C67">
            <v>381766.52</v>
          </cell>
        </row>
        <row r="68">
          <cell r="A68" t="str">
            <v>20100000</v>
          </cell>
          <cell r="B68" t="str">
            <v>ACCOUNTS PAYABLE</v>
          </cell>
          <cell r="C68">
            <v>-1486339.48</v>
          </cell>
        </row>
        <row r="69">
          <cell r="A69" t="str">
            <v>20110000</v>
          </cell>
          <cell r="B69" t="str">
            <v>ACCRUED PAYROLL</v>
          </cell>
          <cell r="C69">
            <v>-512221.41</v>
          </cell>
        </row>
        <row r="70">
          <cell r="A70" t="str">
            <v>20111000</v>
          </cell>
          <cell r="B70" t="str">
            <v>ACCRUED EARNED TIME OFF</v>
          </cell>
          <cell r="C70">
            <v>-1529809.59</v>
          </cell>
        </row>
        <row r="71">
          <cell r="A71" t="str">
            <v>20120000</v>
          </cell>
          <cell r="B71" t="str">
            <v>FED INCOME TAXES WITHHELD</v>
          </cell>
          <cell r="C71">
            <v>-0.04</v>
          </cell>
        </row>
        <row r="72">
          <cell r="A72" t="str">
            <v>20121000</v>
          </cell>
          <cell r="B72" t="str">
            <v>SOCIAL SECURITY WITHHELD</v>
          </cell>
          <cell r="C72">
            <v>-24378.53</v>
          </cell>
        </row>
        <row r="73">
          <cell r="A73" t="str">
            <v>20122000</v>
          </cell>
          <cell r="B73" t="str">
            <v>STATE INCOME TAXES WITHHELD</v>
          </cell>
          <cell r="C73">
            <v>0</v>
          </cell>
        </row>
        <row r="74">
          <cell r="A74" t="str">
            <v>20123000</v>
          </cell>
          <cell r="B74" t="str">
            <v>AFLAC DEDUCTIONS</v>
          </cell>
          <cell r="C74">
            <v>-839.73</v>
          </cell>
        </row>
        <row r="75">
          <cell r="A75" t="str">
            <v>20127000</v>
          </cell>
          <cell r="B75" t="str">
            <v>PEOPLE FIRST</v>
          </cell>
          <cell r="C75">
            <v>-8329.4500000000007</v>
          </cell>
        </row>
        <row r="76">
          <cell r="A76" t="str">
            <v>20131000</v>
          </cell>
          <cell r="B76" t="str">
            <v>TSA DEDUCTIONS</v>
          </cell>
          <cell r="C76">
            <v>-604</v>
          </cell>
        </row>
        <row r="77">
          <cell r="A77" t="str">
            <v>20132000</v>
          </cell>
          <cell r="B77" t="str">
            <v>DISABILITY - LONG TERM</v>
          </cell>
          <cell r="C77">
            <v>-1968.45</v>
          </cell>
        </row>
        <row r="78">
          <cell r="A78" t="str">
            <v>20133000</v>
          </cell>
          <cell r="B78" t="str">
            <v>DISABILITY - SHORT TERM</v>
          </cell>
          <cell r="C78">
            <v>-19232.2</v>
          </cell>
        </row>
        <row r="79">
          <cell r="A79" t="str">
            <v>20134000</v>
          </cell>
          <cell r="B79" t="str">
            <v>DEPENDENT LIFE INSURANCE</v>
          </cell>
          <cell r="C79">
            <v>2588.61</v>
          </cell>
        </row>
        <row r="80">
          <cell r="A80" t="str">
            <v>20138000</v>
          </cell>
          <cell r="B80" t="str">
            <v>MISC PAYROLL DEDUCTION</v>
          </cell>
          <cell r="C80">
            <v>523.69000000000005</v>
          </cell>
        </row>
        <row r="81">
          <cell r="A81" t="str">
            <v>20138001</v>
          </cell>
          <cell r="B81" t="str">
            <v>REC CENTER MEMBERSHIP</v>
          </cell>
          <cell r="C81">
            <v>1370</v>
          </cell>
        </row>
        <row r="82">
          <cell r="A82" t="str">
            <v>20139000</v>
          </cell>
          <cell r="B82" t="str">
            <v>CAFE DEDUCTIONS</v>
          </cell>
          <cell r="C82">
            <v>336.42</v>
          </cell>
        </row>
        <row r="83">
          <cell r="A83" t="str">
            <v>20142000</v>
          </cell>
          <cell r="B83" t="str">
            <v>L.O.C. - CHITTENDEN BANK</v>
          </cell>
          <cell r="C83">
            <v>-1825383.56</v>
          </cell>
        </row>
        <row r="84">
          <cell r="A84" t="str">
            <v>20147200</v>
          </cell>
          <cell r="B84" t="str">
            <v>CAPITAL LEASE-CURR-TOSHIBA RAD</v>
          </cell>
          <cell r="C84">
            <v>-0.01</v>
          </cell>
        </row>
        <row r="85">
          <cell r="A85" t="str">
            <v>20147201</v>
          </cell>
          <cell r="B85" t="str">
            <v>CAPITAL LEASE-TOSHIBA CT CURR</v>
          </cell>
          <cell r="C85">
            <v>14246.76</v>
          </cell>
        </row>
        <row r="86">
          <cell r="A86" t="str">
            <v>20147202</v>
          </cell>
          <cell r="B86" t="str">
            <v>CAPITAL LEASE-TOSHIBA 671 CURR</v>
          </cell>
          <cell r="C86">
            <v>-95415.73</v>
          </cell>
        </row>
        <row r="87">
          <cell r="A87" t="str">
            <v>20147300</v>
          </cell>
          <cell r="B87" t="str">
            <v>CAPITAL LEASE - GE CURR PORTIO</v>
          </cell>
          <cell r="C87">
            <v>-100237.04</v>
          </cell>
        </row>
        <row r="88">
          <cell r="A88" t="str">
            <v>20147400</v>
          </cell>
          <cell r="B88" t="str">
            <v>CAPITAL LEASE - WINTHROP TOMO</v>
          </cell>
          <cell r="C88">
            <v>-65874.92</v>
          </cell>
        </row>
        <row r="89">
          <cell r="A89" t="str">
            <v>20149000</v>
          </cell>
          <cell r="B89" t="str">
            <v>CURRENT PORTION 2002 BOND</v>
          </cell>
          <cell r="C89">
            <v>-285000</v>
          </cell>
        </row>
        <row r="90">
          <cell r="A90" t="str">
            <v>20150000</v>
          </cell>
          <cell r="B90" t="str">
            <v>ACCRUED EXPENSES</v>
          </cell>
          <cell r="C90">
            <v>-161638.85</v>
          </cell>
        </row>
        <row r="91">
          <cell r="A91" t="str">
            <v>20152000</v>
          </cell>
          <cell r="B91" t="str">
            <v>ACCRUED AUDIT FEES PAYABLE</v>
          </cell>
          <cell r="C91">
            <v>-83668.92</v>
          </cell>
        </row>
        <row r="92">
          <cell r="A92" t="str">
            <v>20153000</v>
          </cell>
          <cell r="B92" t="str">
            <v>NOTE PAY CURRENT - CHITTENDEN</v>
          </cell>
          <cell r="C92">
            <v>-298524.68</v>
          </cell>
        </row>
        <row r="93">
          <cell r="A93" t="str">
            <v>20155000</v>
          </cell>
          <cell r="B93" t="str">
            <v>DEF BENEFIT PENSION ACCRUAL</v>
          </cell>
          <cell r="C93">
            <v>-5852601.9199999999</v>
          </cell>
        </row>
        <row r="94">
          <cell r="A94" t="str">
            <v>20157000</v>
          </cell>
          <cell r="B94" t="str">
            <v>MED STAFF BANK ACCT OFFSET</v>
          </cell>
          <cell r="C94">
            <v>-9795.06</v>
          </cell>
        </row>
        <row r="95">
          <cell r="A95" t="str">
            <v>20174000</v>
          </cell>
          <cell r="B95" t="str">
            <v>PATIENT REFUNDS</v>
          </cell>
          <cell r="C95">
            <v>19500.939999999999</v>
          </cell>
        </row>
        <row r="96">
          <cell r="A96" t="str">
            <v>20174037</v>
          </cell>
          <cell r="B96" t="str">
            <v>PT REFUND/SURGERY</v>
          </cell>
          <cell r="C96">
            <v>1301</v>
          </cell>
        </row>
        <row r="97">
          <cell r="A97" t="str">
            <v>20175000</v>
          </cell>
          <cell r="B97" t="str">
            <v>OTHER CURRENT LIABILITIES</v>
          </cell>
          <cell r="C97">
            <v>-255320.06</v>
          </cell>
        </row>
        <row r="98">
          <cell r="A98" t="str">
            <v>20176000</v>
          </cell>
          <cell r="B98" t="str">
            <v>REIMB SETTLEMENT DUE MCARE</v>
          </cell>
          <cell r="C98">
            <v>-240737.86</v>
          </cell>
        </row>
        <row r="99">
          <cell r="A99" t="str">
            <v>20176015</v>
          </cell>
          <cell r="B99" t="str">
            <v>REIMB SETT DUE MCARE FY15</v>
          </cell>
          <cell r="C99">
            <v>-2297080</v>
          </cell>
        </row>
        <row r="100">
          <cell r="A100" t="str">
            <v>20176016</v>
          </cell>
          <cell r="B100" t="str">
            <v>REIMB SETT DUE MCARE FY16</v>
          </cell>
          <cell r="C100">
            <v>-62000</v>
          </cell>
        </row>
        <row r="101">
          <cell r="A101" t="str">
            <v>20180000</v>
          </cell>
          <cell r="B101" t="str">
            <v>RESERVE SELF FUNDING INSUR</v>
          </cell>
          <cell r="C101">
            <v>-147306.35</v>
          </cell>
        </row>
        <row r="102">
          <cell r="A102" t="str">
            <v>20185000</v>
          </cell>
          <cell r="B102" t="str">
            <v>RESERVE FOR CAFE-R SPENDING</v>
          </cell>
          <cell r="C102">
            <v>-99735.9</v>
          </cell>
        </row>
        <row r="103">
          <cell r="A103" t="str">
            <v>20187000</v>
          </cell>
          <cell r="B103" t="str">
            <v>RESERVE FOR WORKER'S COMP</v>
          </cell>
          <cell r="C103">
            <v>-65665</v>
          </cell>
        </row>
        <row r="104">
          <cell r="A104" t="str">
            <v>20190000</v>
          </cell>
          <cell r="B104" t="str">
            <v>DEFERRED INCOME</v>
          </cell>
          <cell r="C104">
            <v>-434248.27</v>
          </cell>
        </row>
        <row r="105">
          <cell r="A105" t="str">
            <v>20192000</v>
          </cell>
          <cell r="B105" t="str">
            <v>DUE TO SPECIFIC PURPOSE FUND</v>
          </cell>
          <cell r="C105">
            <v>-455</v>
          </cell>
        </row>
        <row r="106">
          <cell r="A106" t="str">
            <v>20195000</v>
          </cell>
          <cell r="B106" t="str">
            <v>DUE TO SMCS</v>
          </cell>
          <cell r="C106">
            <v>95446.07</v>
          </cell>
        </row>
        <row r="107">
          <cell r="A107" t="str">
            <v>20196000</v>
          </cell>
          <cell r="B107" t="str">
            <v>GENERAL FUND BALANCE</v>
          </cell>
          <cell r="C107">
            <v>-17016332.82</v>
          </cell>
        </row>
        <row r="108">
          <cell r="A108" t="str">
            <v>20203000</v>
          </cell>
          <cell r="B108" t="str">
            <v>NOTE PAYABLE LT  - CHITTENDEN</v>
          </cell>
          <cell r="C108">
            <v>-1527080.6</v>
          </cell>
        </row>
        <row r="109">
          <cell r="A109" t="str">
            <v>20205000</v>
          </cell>
          <cell r="B109" t="str">
            <v>NON CURRENT 2002 BOND</v>
          </cell>
          <cell r="C109">
            <v>-6115000</v>
          </cell>
        </row>
        <row r="110">
          <cell r="A110" t="str">
            <v>20207202</v>
          </cell>
          <cell r="B110" t="str">
            <v>CAPITAL LEASE-TOSHIBA 671 LT</v>
          </cell>
          <cell r="C110">
            <v>-247528.07</v>
          </cell>
        </row>
        <row r="111">
          <cell r="A111" t="str">
            <v>20207300</v>
          </cell>
          <cell r="B111" t="str">
            <v>CAPITAL LEASE - GE LT PORTION</v>
          </cell>
          <cell r="C111">
            <v>-16711.47</v>
          </cell>
        </row>
        <row r="112">
          <cell r="A112" t="str">
            <v>20207400</v>
          </cell>
          <cell r="B112" t="str">
            <v>CAP LEASE-LT WINTHROP TOMO</v>
          </cell>
          <cell r="C112">
            <v>-94769.44</v>
          </cell>
        </row>
        <row r="113">
          <cell r="A113" t="str">
            <v>20493000</v>
          </cell>
          <cell r="B113" t="str">
            <v>TEMP RESTR NA - MAMMO GRANT</v>
          </cell>
          <cell r="C113">
            <v>-2381.92</v>
          </cell>
        </row>
        <row r="114">
          <cell r="A114" t="str">
            <v>20494000</v>
          </cell>
          <cell r="B114" t="str">
            <v>TEMP RESTRICTED-DONATIONS</v>
          </cell>
          <cell r="C114">
            <v>-973</v>
          </cell>
        </row>
        <row r="115">
          <cell r="A115" t="str">
            <v>20495000</v>
          </cell>
          <cell r="B115" t="str">
            <v>SPECIFIC PURPOSE FUND BALANCE</v>
          </cell>
          <cell r="C115">
            <v>-179946.83</v>
          </cell>
        </row>
        <row r="116">
          <cell r="A116" t="str">
            <v>20511000</v>
          </cell>
          <cell r="B116" t="str">
            <v>ENDOWMENT FUND BALANCE</v>
          </cell>
          <cell r="C116">
            <v>-493491.66</v>
          </cell>
        </row>
        <row r="117">
          <cell r="A117" t="str">
            <v>20801000</v>
          </cell>
          <cell r="B117" t="str">
            <v>SELF INSUR REVENUE REVERSAL</v>
          </cell>
          <cell r="C117">
            <v>193405.59</v>
          </cell>
        </row>
        <row r="118">
          <cell r="A118" t="str">
            <v>30000000</v>
          </cell>
          <cell r="B118" t="str">
            <v>TEMP RESTR NA - MAMMO GRANT</v>
          </cell>
          <cell r="C118">
            <v>-381.51</v>
          </cell>
        </row>
        <row r="119">
          <cell r="A119" t="str">
            <v>30000009</v>
          </cell>
          <cell r="B119" t="str">
            <v>I/P REV DAILY PAT SER M &amp; S</v>
          </cell>
          <cell r="C119">
            <v>-8172666.4699999997</v>
          </cell>
        </row>
        <row r="120">
          <cell r="A120" t="str">
            <v>30000013</v>
          </cell>
          <cell r="B120" t="str">
            <v>I/P REV DAILY PAT SERV OBST</v>
          </cell>
          <cell r="C120">
            <v>-1096366.3400000001</v>
          </cell>
        </row>
        <row r="121">
          <cell r="A121" t="str">
            <v>30000020</v>
          </cell>
          <cell r="B121" t="str">
            <v>I/P REVENUE - MAMMOGRAPHY</v>
          </cell>
          <cell r="C121">
            <v>-1204</v>
          </cell>
        </row>
        <row r="122">
          <cell r="A122" t="str">
            <v>30000021</v>
          </cell>
          <cell r="B122" t="str">
            <v>I/P REVENUE - SURGICAL SERVICE</v>
          </cell>
          <cell r="C122">
            <v>-1805800</v>
          </cell>
        </row>
        <row r="123">
          <cell r="A123" t="str">
            <v>30000022</v>
          </cell>
          <cell r="B123" t="str">
            <v>I/P REVENUE - RECOVERY ROOM</v>
          </cell>
          <cell r="C123">
            <v>-201569</v>
          </cell>
        </row>
        <row r="124">
          <cell r="A124" t="str">
            <v>30000023</v>
          </cell>
          <cell r="B124" t="str">
            <v>I/P REVENUE - EMERGENCY ROOM</v>
          </cell>
          <cell r="C124">
            <v>0</v>
          </cell>
        </row>
        <row r="125">
          <cell r="A125" t="str">
            <v>30000024</v>
          </cell>
          <cell r="B125" t="str">
            <v>I/P REVENUE-ONE DAY SURGERY</v>
          </cell>
          <cell r="C125">
            <v>-37514</v>
          </cell>
        </row>
        <row r="126">
          <cell r="A126" t="str">
            <v>30000026</v>
          </cell>
          <cell r="B126" t="str">
            <v>I/P REV ER SERV PROF FEE</v>
          </cell>
          <cell r="C126">
            <v>0</v>
          </cell>
        </row>
        <row r="127">
          <cell r="A127" t="str">
            <v>30000028</v>
          </cell>
          <cell r="B127" t="str">
            <v>I/P REVENUE-ENDOSCOPY PROC.</v>
          </cell>
          <cell r="C127">
            <v>-66996</v>
          </cell>
        </row>
        <row r="128">
          <cell r="A128" t="str">
            <v>30000029</v>
          </cell>
          <cell r="B128" t="str">
            <v>I/P REVENUE-SPECIAL SERVICES</v>
          </cell>
          <cell r="C128">
            <v>-130488</v>
          </cell>
        </row>
        <row r="129">
          <cell r="A129" t="str">
            <v>30000036</v>
          </cell>
          <cell r="B129" t="str">
            <v>I/P REV - MRI DEPARTMENT</v>
          </cell>
          <cell r="C129">
            <v>-217867</v>
          </cell>
        </row>
        <row r="130">
          <cell r="A130" t="str">
            <v>30000037</v>
          </cell>
          <cell r="B130" t="str">
            <v>I/P REVENUE SURGEONS</v>
          </cell>
          <cell r="C130">
            <v>-305</v>
          </cell>
        </row>
        <row r="131">
          <cell r="A131" t="str">
            <v>30000040</v>
          </cell>
          <cell r="B131" t="str">
            <v>I/P REV - ULTRASOUND</v>
          </cell>
          <cell r="C131">
            <v>-874377</v>
          </cell>
        </row>
        <row r="132">
          <cell r="A132" t="str">
            <v>30000041</v>
          </cell>
          <cell r="B132" t="str">
            <v>I/P REV - LAB CLINICAL</v>
          </cell>
          <cell r="C132">
            <v>-3644664.58</v>
          </cell>
        </row>
        <row r="133">
          <cell r="A133" t="str">
            <v>30000042</v>
          </cell>
          <cell r="B133" t="str">
            <v>I/P REVENUE - BLOOD BANK</v>
          </cell>
          <cell r="C133">
            <v>-226162.5</v>
          </cell>
        </row>
        <row r="134">
          <cell r="A134" t="str">
            <v>30000043</v>
          </cell>
          <cell r="B134" t="str">
            <v>I/P REVENUE-ELECTROCARDIOLOGY</v>
          </cell>
          <cell r="C134">
            <v>-202522</v>
          </cell>
        </row>
        <row r="135">
          <cell r="A135" t="str">
            <v>30000044</v>
          </cell>
          <cell r="B135" t="str">
            <v>I/P REV -RADIOLOGY-DIAGNOSTIC</v>
          </cell>
          <cell r="C135">
            <v>-737901</v>
          </cell>
        </row>
        <row r="136">
          <cell r="A136" t="str">
            <v>30000045</v>
          </cell>
          <cell r="B136" t="str">
            <v>I/P REVENUE - CAT SCAN</v>
          </cell>
          <cell r="C136">
            <v>-675860</v>
          </cell>
        </row>
        <row r="137">
          <cell r="A137" t="str">
            <v>30000046</v>
          </cell>
          <cell r="B137" t="str">
            <v>I/P REVENUE - NUCLEAR MEDICINE</v>
          </cell>
          <cell r="C137">
            <v>-100063</v>
          </cell>
        </row>
        <row r="138">
          <cell r="A138" t="str">
            <v>30000047</v>
          </cell>
          <cell r="B138" t="str">
            <v>I/P REVENUE-PHARMACY</v>
          </cell>
          <cell r="C138">
            <v>-1523686.66</v>
          </cell>
        </row>
        <row r="139">
          <cell r="A139" t="str">
            <v>30000048</v>
          </cell>
          <cell r="B139" t="str">
            <v>I/P REVENUE-ANESTHESIOLOGY</v>
          </cell>
          <cell r="C139">
            <v>-114966</v>
          </cell>
        </row>
        <row r="140">
          <cell r="A140" t="str">
            <v>30000049</v>
          </cell>
          <cell r="B140" t="str">
            <v>I/P REVENUE - PHYSICAL THERAPY</v>
          </cell>
          <cell r="C140">
            <v>-491217.08</v>
          </cell>
        </row>
        <row r="141">
          <cell r="A141" t="str">
            <v>30000050</v>
          </cell>
          <cell r="B141" t="str">
            <v>I/P REVENUE - RESPIRATORY THER</v>
          </cell>
          <cell r="C141">
            <v>-2164229</v>
          </cell>
        </row>
        <row r="142">
          <cell r="A142" t="str">
            <v>30000052</v>
          </cell>
          <cell r="B142" t="str">
            <v>I/P REV - OCCUPATIONAL THERAPY</v>
          </cell>
          <cell r="C142">
            <v>-122810.93</v>
          </cell>
        </row>
        <row r="143">
          <cell r="A143" t="str">
            <v>30000096</v>
          </cell>
          <cell r="B143" t="str">
            <v>I/P REVENUE-HOSPITALIST</v>
          </cell>
          <cell r="C143">
            <v>-1140163</v>
          </cell>
        </row>
        <row r="144">
          <cell r="A144" t="str">
            <v>30010018</v>
          </cell>
          <cell r="B144" t="str">
            <v>I/P REV PSYCHIATRY ROCKINGHAM</v>
          </cell>
          <cell r="C144">
            <v>-3622768.55</v>
          </cell>
        </row>
        <row r="145">
          <cell r="A145" t="str">
            <v>30010041</v>
          </cell>
          <cell r="B145" t="str">
            <v>I/P REV PSYCHE LAB</v>
          </cell>
          <cell r="C145">
            <v>0</v>
          </cell>
        </row>
        <row r="146">
          <cell r="A146" t="str">
            <v>30010044</v>
          </cell>
          <cell r="B146" t="str">
            <v>I/P REV PSYCHE XRAY</v>
          </cell>
          <cell r="C146">
            <v>-800</v>
          </cell>
        </row>
        <row r="147">
          <cell r="A147" t="str">
            <v>30010077</v>
          </cell>
          <cell r="B147" t="str">
            <v>I/P REV LAB CLINICAL ROCKINGHA</v>
          </cell>
          <cell r="C147">
            <v>-96654.58</v>
          </cell>
        </row>
        <row r="148">
          <cell r="A148" t="str">
            <v>30010087</v>
          </cell>
          <cell r="B148" t="str">
            <v>I/P REV PHARMACY ROCKINGHAM</v>
          </cell>
          <cell r="C148">
            <v>-305694.25</v>
          </cell>
        </row>
        <row r="149">
          <cell r="A149" t="str">
            <v>30019013</v>
          </cell>
          <cell r="B149" t="str">
            <v>I/P REV LABOR AND DELIVERY</v>
          </cell>
          <cell r="C149">
            <v>-481835</v>
          </cell>
        </row>
        <row r="150">
          <cell r="A150" t="str">
            <v>30050009</v>
          </cell>
          <cell r="B150" t="str">
            <v>I/P REV:M&amp;S SUPPLIES- MED/SURG</v>
          </cell>
          <cell r="C150">
            <v>-253885.17</v>
          </cell>
        </row>
        <row r="151">
          <cell r="A151" t="str">
            <v>30050013</v>
          </cell>
          <cell r="B151" t="str">
            <v>I/P REV:M&amp;S SUPPLIES-OBSTETRIC</v>
          </cell>
          <cell r="C151">
            <v>-97302.14</v>
          </cell>
        </row>
        <row r="152">
          <cell r="A152" t="str">
            <v>30050018</v>
          </cell>
          <cell r="B152" t="str">
            <v>I/P REV:M&amp;S SUPPLIES-PSYCH</v>
          </cell>
          <cell r="C152">
            <v>-98.55</v>
          </cell>
        </row>
        <row r="153">
          <cell r="A153" t="str">
            <v>30050021</v>
          </cell>
          <cell r="B153" t="str">
            <v>I/P REV:M &amp; S SUPPLIES-SURGERY</v>
          </cell>
          <cell r="C153">
            <v>-3018743.74</v>
          </cell>
        </row>
        <row r="154">
          <cell r="A154" t="str">
            <v>30050022</v>
          </cell>
          <cell r="B154" t="str">
            <v>I/P REV:M &amp; S SUPPLIES-RECOVER</v>
          </cell>
          <cell r="C154">
            <v>-1268</v>
          </cell>
        </row>
        <row r="155">
          <cell r="A155" t="str">
            <v>30050023</v>
          </cell>
          <cell r="B155" t="str">
            <v>I/P REV:M&amp;S SUPPLIES-EMERGENCY</v>
          </cell>
          <cell r="C155">
            <v>0</v>
          </cell>
        </row>
        <row r="156">
          <cell r="A156" t="str">
            <v>30050024</v>
          </cell>
          <cell r="B156" t="str">
            <v>I/P REV:M&amp;S SUPPLIES-ONE DAY S</v>
          </cell>
          <cell r="C156">
            <v>-8012.91</v>
          </cell>
        </row>
        <row r="157">
          <cell r="A157" t="str">
            <v>30050028</v>
          </cell>
          <cell r="B157" t="str">
            <v>I/P REV:M&amp;S SUPPLIES-SPC PRCDR</v>
          </cell>
          <cell r="C157">
            <v>-13975.7</v>
          </cell>
        </row>
        <row r="158">
          <cell r="A158" t="str">
            <v>30050029</v>
          </cell>
          <cell r="B158" t="str">
            <v>I/P REV:M&amp;S SUPPLIES-SPC SRVOP</v>
          </cell>
          <cell r="C158">
            <v>-4900.1499999999996</v>
          </cell>
        </row>
        <row r="159">
          <cell r="A159" t="str">
            <v>30050036</v>
          </cell>
          <cell r="B159" t="str">
            <v>I/P REV:M&amp;S SUPPLIES-MRI</v>
          </cell>
          <cell r="C159">
            <v>-2908.25</v>
          </cell>
        </row>
        <row r="160">
          <cell r="A160" t="str">
            <v>30050043</v>
          </cell>
          <cell r="B160" t="str">
            <v>I/P REV:SUPPLIES-ELCTROCARDIOL</v>
          </cell>
          <cell r="C160">
            <v>-198.01</v>
          </cell>
        </row>
        <row r="161">
          <cell r="A161" t="str">
            <v>30050044</v>
          </cell>
          <cell r="B161" t="str">
            <v>I/P REV:SUPPLIES-RADIOLOGY-DIA</v>
          </cell>
          <cell r="C161">
            <v>-76718.350000000006</v>
          </cell>
        </row>
        <row r="162">
          <cell r="A162" t="str">
            <v>30050045</v>
          </cell>
          <cell r="B162" t="str">
            <v>I/P REV:SUPPLIES-CAT SCAN</v>
          </cell>
          <cell r="C162">
            <v>-20.6</v>
          </cell>
        </row>
        <row r="163">
          <cell r="A163" t="str">
            <v>30050047</v>
          </cell>
          <cell r="B163" t="str">
            <v>I/P REV:SUPPLIES- PHARMACY</v>
          </cell>
          <cell r="C163">
            <v>-65657.14</v>
          </cell>
        </row>
        <row r="164">
          <cell r="A164" t="str">
            <v>30050048</v>
          </cell>
          <cell r="B164" t="str">
            <v>I/P REV:SUPPLIES-ANESTHESIOLOG</v>
          </cell>
          <cell r="C164">
            <v>-52334.61</v>
          </cell>
        </row>
        <row r="165">
          <cell r="A165" t="str">
            <v>30050049</v>
          </cell>
          <cell r="B165" t="str">
            <v>I/P REV:SUPPLIES- PHYS THERAPY</v>
          </cell>
          <cell r="C165">
            <v>-247.24</v>
          </cell>
        </row>
        <row r="166">
          <cell r="A166" t="str">
            <v>30050050</v>
          </cell>
          <cell r="B166" t="str">
            <v>I/P REV:SUPPLIES-RESP THERAPY</v>
          </cell>
          <cell r="C166">
            <v>-87112.74</v>
          </cell>
        </row>
        <row r="167">
          <cell r="A167" t="str">
            <v>30050052</v>
          </cell>
          <cell r="B167" t="str">
            <v>I/P REV:SUPPLIES-OCCUPATNL THR</v>
          </cell>
          <cell r="C167">
            <v>-96.46</v>
          </cell>
        </row>
        <row r="168">
          <cell r="A168" t="str">
            <v>30060018</v>
          </cell>
          <cell r="B168" t="str">
            <v>I/P REV SUPPLIES PSYCH ROCKING</v>
          </cell>
          <cell r="C168">
            <v>-14723.5</v>
          </cell>
        </row>
        <row r="169">
          <cell r="A169" t="str">
            <v>30060044</v>
          </cell>
          <cell r="B169" t="str">
            <v>I/P PSYCHE REVENUE</v>
          </cell>
          <cell r="C169">
            <v>-219.45</v>
          </cell>
        </row>
        <row r="170">
          <cell r="A170" t="str">
            <v>30100009</v>
          </cell>
          <cell r="B170" t="str">
            <v>O/P REVENUE-MED-SURG</v>
          </cell>
          <cell r="C170">
            <v>-1096180.69</v>
          </cell>
        </row>
        <row r="171">
          <cell r="A171" t="str">
            <v>30100013</v>
          </cell>
          <cell r="B171" t="str">
            <v>O/P REV OB/GYN</v>
          </cell>
          <cell r="C171">
            <v>-34940.660000000003</v>
          </cell>
        </row>
        <row r="172">
          <cell r="A172" t="str">
            <v>30100015</v>
          </cell>
          <cell r="B172" t="str">
            <v>O/P REVENUE-ENT</v>
          </cell>
          <cell r="C172">
            <v>-925516.59</v>
          </cell>
        </row>
        <row r="173">
          <cell r="A173" t="str">
            <v>30100017</v>
          </cell>
          <cell r="B173" t="str">
            <v>O/P REVENUE</v>
          </cell>
          <cell r="C173">
            <v>-3001478.36</v>
          </cell>
        </row>
        <row r="174">
          <cell r="A174" t="str">
            <v>30100019</v>
          </cell>
          <cell r="B174" t="str">
            <v>O/P REV - PULMONARY REHAB</v>
          </cell>
          <cell r="C174">
            <v>-97064</v>
          </cell>
        </row>
        <row r="175">
          <cell r="A175" t="str">
            <v>30100020</v>
          </cell>
          <cell r="B175" t="str">
            <v>O/P REVENUE - MAMMOGRAPHY</v>
          </cell>
          <cell r="C175">
            <v>-1311615.18</v>
          </cell>
        </row>
        <row r="176">
          <cell r="A176" t="str">
            <v>30100021</v>
          </cell>
          <cell r="B176" t="str">
            <v>O/P REVENUE - SURGICAL SERVICE</v>
          </cell>
          <cell r="C176">
            <v>-5859558.8600000003</v>
          </cell>
        </row>
        <row r="177">
          <cell r="A177" t="str">
            <v>30100022</v>
          </cell>
          <cell r="B177" t="str">
            <v>O/P REVENUE - RECOVERY ROOM</v>
          </cell>
          <cell r="C177">
            <v>-440769.5</v>
          </cell>
        </row>
        <row r="178">
          <cell r="A178" t="str">
            <v>30100023</v>
          </cell>
          <cell r="B178" t="str">
            <v>O/P REVENUE - EMERGENCY ROOM</v>
          </cell>
          <cell r="C178">
            <v>-19057451.469999999</v>
          </cell>
        </row>
        <row r="179">
          <cell r="A179" t="str">
            <v>30100024</v>
          </cell>
          <cell r="B179" t="str">
            <v>O/P REVENUE - ONE DAY SURGERY</v>
          </cell>
          <cell r="C179">
            <v>-780587.35</v>
          </cell>
        </row>
        <row r="180">
          <cell r="A180" t="str">
            <v>30100026</v>
          </cell>
          <cell r="B180" t="str">
            <v>O/P ER SERV PROF FEE</v>
          </cell>
          <cell r="C180">
            <v>-6600274.6699999999</v>
          </cell>
        </row>
        <row r="181">
          <cell r="A181" t="str">
            <v>30100028</v>
          </cell>
          <cell r="B181" t="str">
            <v>O/P REVENUE-ENDOSCOPY PROC.</v>
          </cell>
          <cell r="C181">
            <v>-1932005.29</v>
          </cell>
        </row>
        <row r="182">
          <cell r="A182" t="str">
            <v>30100029</v>
          </cell>
          <cell r="B182" t="str">
            <v>O/P REVENUE-SPECIAL SERVICES</v>
          </cell>
          <cell r="C182">
            <v>-2227174.9700000002</v>
          </cell>
        </row>
        <row r="183">
          <cell r="A183" t="str">
            <v>30100036</v>
          </cell>
          <cell r="B183" t="str">
            <v>O/P REV - MRI</v>
          </cell>
          <cell r="C183">
            <v>-2997569.79</v>
          </cell>
        </row>
        <row r="184">
          <cell r="A184" t="str">
            <v>30100037</v>
          </cell>
          <cell r="B184" t="str">
            <v>O/P REVENUE</v>
          </cell>
          <cell r="C184">
            <v>-2373940</v>
          </cell>
        </row>
        <row r="185">
          <cell r="A185" t="str">
            <v>30100040</v>
          </cell>
          <cell r="B185" t="str">
            <v>O/P REV - ULTRASOUND</v>
          </cell>
          <cell r="C185">
            <v>-4492221.28</v>
          </cell>
        </row>
        <row r="186">
          <cell r="A186" t="str">
            <v>30100041</v>
          </cell>
          <cell r="B186" t="str">
            <v>O/P REV-LAB CLINICAL</v>
          </cell>
          <cell r="C186">
            <v>-18232579.989999998</v>
          </cell>
        </row>
        <row r="187">
          <cell r="A187" t="str">
            <v>30100042</v>
          </cell>
          <cell r="B187" t="str">
            <v>O/P REVENUE-BLOOD BANK</v>
          </cell>
          <cell r="C187">
            <v>-360589.7</v>
          </cell>
        </row>
        <row r="188">
          <cell r="A188" t="str">
            <v>30100043</v>
          </cell>
          <cell r="B188" t="str">
            <v>O/P REV - ELECTROCARDIOLOGY</v>
          </cell>
          <cell r="C188">
            <v>-1495245</v>
          </cell>
        </row>
        <row r="189">
          <cell r="A189" t="str">
            <v>30100044</v>
          </cell>
          <cell r="B189" t="str">
            <v>O/P REV - RADIOLOGY-DIAG:IN-HS</v>
          </cell>
          <cell r="C189">
            <v>-4647772.57</v>
          </cell>
        </row>
        <row r="190">
          <cell r="A190" t="str">
            <v>30100045</v>
          </cell>
          <cell r="B190" t="str">
            <v>O/P REVENUE - CAT SCAN</v>
          </cell>
          <cell r="C190">
            <v>-11084014.52</v>
          </cell>
        </row>
        <row r="191">
          <cell r="A191" t="str">
            <v>30100046</v>
          </cell>
          <cell r="B191" t="str">
            <v>O/P REVENUE- NUCLEAR MEDICINE</v>
          </cell>
          <cell r="C191">
            <v>-1091340.73</v>
          </cell>
        </row>
        <row r="192">
          <cell r="A192" t="str">
            <v>30100047</v>
          </cell>
          <cell r="B192" t="str">
            <v>O/P REVENUE - PHARMACY</v>
          </cell>
          <cell r="C192">
            <v>-6341330.3300000001</v>
          </cell>
        </row>
        <row r="193">
          <cell r="A193" t="str">
            <v>30100048</v>
          </cell>
          <cell r="B193" t="str">
            <v>O/P REVENUE - ANESTHESIOLOGY</v>
          </cell>
          <cell r="C193">
            <v>-480564</v>
          </cell>
        </row>
        <row r="194">
          <cell r="A194" t="str">
            <v>30100049</v>
          </cell>
          <cell r="B194" t="str">
            <v>O/P REVENUE - PHYSICAL THERAPY</v>
          </cell>
          <cell r="C194">
            <v>-1396280.84</v>
          </cell>
        </row>
        <row r="195">
          <cell r="A195" t="str">
            <v>30100050</v>
          </cell>
          <cell r="B195" t="str">
            <v>O/P REVENUE-RESP THERAPY</v>
          </cell>
          <cell r="C195">
            <v>-762813.4</v>
          </cell>
        </row>
        <row r="196">
          <cell r="A196" t="str">
            <v>30100052</v>
          </cell>
          <cell r="B196" t="str">
            <v>O/P REV - OCCUPATIONAL THERAPY</v>
          </cell>
          <cell r="C196">
            <v>-234774.95</v>
          </cell>
        </row>
        <row r="197">
          <cell r="A197" t="str">
            <v>30100058</v>
          </cell>
          <cell r="B197" t="str">
            <v>O/P REVENUE - ANES. PHYSICIANS</v>
          </cell>
          <cell r="C197">
            <v>-1476187</v>
          </cell>
        </row>
        <row r="198">
          <cell r="A198" t="str">
            <v>30100084</v>
          </cell>
          <cell r="B198" t="str">
            <v>O/P REVENUE PT BF</v>
          </cell>
          <cell r="C198">
            <v>-440080</v>
          </cell>
        </row>
        <row r="199">
          <cell r="A199" t="str">
            <v>30105017</v>
          </cell>
          <cell r="B199" t="str">
            <v>O/P OTHER PROF SVC</v>
          </cell>
          <cell r="C199">
            <v>-1666365</v>
          </cell>
        </row>
        <row r="200">
          <cell r="A200" t="str">
            <v>30110058</v>
          </cell>
          <cell r="B200" t="str">
            <v>I/P REVENUE - ANES PHYSICIANS</v>
          </cell>
          <cell r="C200">
            <v>-76418</v>
          </cell>
        </row>
        <row r="201">
          <cell r="A201" t="str">
            <v>30110084</v>
          </cell>
          <cell r="B201" t="str">
            <v>O/P REV PHYSICAL THERAPY ROCKI</v>
          </cell>
          <cell r="C201">
            <v>-113319.05</v>
          </cell>
        </row>
        <row r="202">
          <cell r="A202" t="str">
            <v>30119013</v>
          </cell>
          <cell r="B202" t="str">
            <v>O/P REV LABOR AND DELIVERY</v>
          </cell>
          <cell r="C202">
            <v>-49577</v>
          </cell>
        </row>
        <row r="203">
          <cell r="A203" t="str">
            <v>30150009</v>
          </cell>
          <cell r="B203" t="str">
            <v>O/P REV:M&amp;S SUPPLIES-MED/SURG</v>
          </cell>
          <cell r="C203">
            <v>-34814.67</v>
          </cell>
        </row>
        <row r="204">
          <cell r="A204" t="str">
            <v>30150013</v>
          </cell>
          <cell r="B204" t="str">
            <v>O/P REV:M&amp;S SUPPLIES-OBSTETRIC</v>
          </cell>
          <cell r="C204">
            <v>-18852.919999999998</v>
          </cell>
        </row>
        <row r="205">
          <cell r="A205" t="str">
            <v>30150017</v>
          </cell>
          <cell r="B205" t="str">
            <v>O/P REV: OUTSIDE CONSULTING</v>
          </cell>
          <cell r="C205">
            <v>-72.650000000000006</v>
          </cell>
        </row>
        <row r="206">
          <cell r="A206" t="str">
            <v>30150018</v>
          </cell>
          <cell r="B206" t="str">
            <v>O/P REV:M&amp;S SUPPLIES</v>
          </cell>
          <cell r="C206">
            <v>-103.85</v>
          </cell>
        </row>
        <row r="207">
          <cell r="A207" t="str">
            <v>30150019</v>
          </cell>
          <cell r="B207" t="str">
            <v>O/P REV:M&amp;S SUPPLIES-PULM REHA</v>
          </cell>
          <cell r="C207">
            <v>-264.55</v>
          </cell>
        </row>
        <row r="208">
          <cell r="A208" t="str">
            <v>30150020</v>
          </cell>
          <cell r="B208" t="str">
            <v>O/P REV: M&amp;S SUPPLIES - MAMMO</v>
          </cell>
          <cell r="C208">
            <v>-1963.8</v>
          </cell>
        </row>
        <row r="209">
          <cell r="A209" t="str">
            <v>30150021</v>
          </cell>
          <cell r="B209" t="str">
            <v>O/P REV:M &amp; S SUPPLIES-SURGERY</v>
          </cell>
          <cell r="C209">
            <v>-2622751.7599999998</v>
          </cell>
        </row>
        <row r="210">
          <cell r="A210" t="str">
            <v>30150022</v>
          </cell>
          <cell r="B210" t="str">
            <v>O/P REV:M &amp; S SUPPLIES-RECOVER</v>
          </cell>
          <cell r="C210">
            <v>-3055.53</v>
          </cell>
        </row>
        <row r="211">
          <cell r="A211" t="str">
            <v>30150023</v>
          </cell>
          <cell r="B211" t="str">
            <v>O/P REV:M&amp;S SUPPLIES-EMERGENCY</v>
          </cell>
          <cell r="C211">
            <v>-533600.91</v>
          </cell>
        </row>
        <row r="212">
          <cell r="A212" t="str">
            <v>30150024</v>
          </cell>
          <cell r="B212" t="str">
            <v>O/P REV:M&amp;S SUPPLIES-ONE DAY S</v>
          </cell>
          <cell r="C212">
            <v>-88437.59</v>
          </cell>
        </row>
        <row r="213">
          <cell r="A213" t="str">
            <v>30150028</v>
          </cell>
          <cell r="B213" t="str">
            <v>O/P REV:M&amp;S SUPPLIES-SPC PRCDR</v>
          </cell>
          <cell r="C213">
            <v>-345326.56</v>
          </cell>
        </row>
        <row r="214">
          <cell r="A214" t="str">
            <v>30150029</v>
          </cell>
          <cell r="B214" t="str">
            <v>O/P REV:M&amp;S SUPPLIES-SPC SRVOP</v>
          </cell>
          <cell r="C214">
            <v>-65933.08</v>
          </cell>
        </row>
        <row r="215">
          <cell r="A215" t="str">
            <v>30150036</v>
          </cell>
          <cell r="B215" t="str">
            <v>O/P REV:M&amp;S SUPPLIES-MRI</v>
          </cell>
          <cell r="C215">
            <v>-8848.15</v>
          </cell>
        </row>
        <row r="216">
          <cell r="A216" t="str">
            <v>30150041</v>
          </cell>
          <cell r="B216" t="str">
            <v>O/P REV:M&amp;S SUPPLIES-LAB-CLNCL</v>
          </cell>
          <cell r="C216">
            <v>-1040</v>
          </cell>
        </row>
        <row r="217">
          <cell r="A217" t="str">
            <v>30150043</v>
          </cell>
          <cell r="B217" t="str">
            <v>O/P REV:SUPPLIES-ELECTROCARDIO</v>
          </cell>
          <cell r="C217">
            <v>-6676.55</v>
          </cell>
        </row>
        <row r="218">
          <cell r="A218" t="str">
            <v>30150044</v>
          </cell>
          <cell r="B218" t="str">
            <v>O/P REV:SUPPLIES-RADIOLOGY-DIA</v>
          </cell>
          <cell r="C218">
            <v>-659231.81999999995</v>
          </cell>
        </row>
        <row r="219">
          <cell r="A219" t="str">
            <v>30150045</v>
          </cell>
          <cell r="B219" t="str">
            <v>O/P REV:SUPPLIES-CAT SCAN</v>
          </cell>
          <cell r="C219">
            <v>-435.5</v>
          </cell>
        </row>
        <row r="220">
          <cell r="A220" t="str">
            <v>30150047</v>
          </cell>
          <cell r="B220" t="str">
            <v>O/P REV:SUPPLIES- PHARMACY</v>
          </cell>
          <cell r="C220">
            <v>-112719.32</v>
          </cell>
        </row>
        <row r="221">
          <cell r="A221" t="str">
            <v>30150048</v>
          </cell>
          <cell r="B221" t="str">
            <v>O/P REV:SUPPLIES-ANESTHESIOLOG</v>
          </cell>
          <cell r="C221">
            <v>-81381.13</v>
          </cell>
        </row>
        <row r="222">
          <cell r="A222" t="str">
            <v>30150049</v>
          </cell>
          <cell r="B222" t="str">
            <v>O/P REV:SUPPLIES-PHYS THERAPY</v>
          </cell>
          <cell r="C222">
            <v>-6079.48</v>
          </cell>
        </row>
        <row r="223">
          <cell r="A223" t="str">
            <v>30150050</v>
          </cell>
          <cell r="B223" t="str">
            <v>O/P REV:SUPPLIES-RESP THERAPY</v>
          </cell>
          <cell r="C223">
            <v>-70586.460000000006</v>
          </cell>
        </row>
        <row r="224">
          <cell r="A224" t="str">
            <v>30150078</v>
          </cell>
          <cell r="B224" t="str">
            <v>O/P SUPPLIES - URGENT CARE</v>
          </cell>
          <cell r="C224">
            <v>0</v>
          </cell>
        </row>
        <row r="225">
          <cell r="A225" t="str">
            <v>30150084</v>
          </cell>
          <cell r="B225" t="str">
            <v>O/P SUPPLIES - BF PT</v>
          </cell>
          <cell r="C225">
            <v>-532.78</v>
          </cell>
        </row>
        <row r="226">
          <cell r="A226" t="str">
            <v>40012009</v>
          </cell>
          <cell r="B226" t="str">
            <v>STAFF/CLERICAL MSU</v>
          </cell>
          <cell r="C226">
            <v>614.01</v>
          </cell>
        </row>
        <row r="227">
          <cell r="A227" t="str">
            <v>40012013</v>
          </cell>
          <cell r="B227" t="str">
            <v>STAFF/CLERICAL CHILDBIRTH</v>
          </cell>
          <cell r="C227">
            <v>6450.17</v>
          </cell>
        </row>
        <row r="228">
          <cell r="A228" t="str">
            <v>40012018</v>
          </cell>
          <cell r="B228" t="str">
            <v>STAFF/CLERICAL WINDHAM CTR</v>
          </cell>
          <cell r="C228">
            <v>24235.7</v>
          </cell>
        </row>
        <row r="229">
          <cell r="A229" t="str">
            <v>40012023</v>
          </cell>
          <cell r="B229" t="str">
            <v>STAFF/CLERICAL ER</v>
          </cell>
          <cell r="C229">
            <v>29420.2</v>
          </cell>
        </row>
        <row r="230">
          <cell r="A230" t="str">
            <v>40012037</v>
          </cell>
          <cell r="B230" t="str">
            <v>STAFF/CLERICAL/SURGICAL</v>
          </cell>
          <cell r="C230">
            <v>930.68</v>
          </cell>
        </row>
        <row r="231">
          <cell r="A231" t="str">
            <v>40012060</v>
          </cell>
          <cell r="B231" t="str">
            <v>STAFF/CLERICAL ADM</v>
          </cell>
          <cell r="C231">
            <v>284143</v>
          </cell>
        </row>
        <row r="232">
          <cell r="A232" t="str">
            <v>40012061</v>
          </cell>
          <cell r="B232" t="str">
            <v>STAFF/CLERICAL-HR</v>
          </cell>
          <cell r="C232">
            <v>206417</v>
          </cell>
        </row>
        <row r="233">
          <cell r="A233" t="str">
            <v>40012062</v>
          </cell>
          <cell r="B233" t="str">
            <v>STAFF/CLERICAL-QR</v>
          </cell>
          <cell r="C233">
            <v>307305</v>
          </cell>
        </row>
        <row r="234">
          <cell r="A234" t="str">
            <v>40012065</v>
          </cell>
          <cell r="B234" t="str">
            <v>STAFF/CLERICAL PUBLIC RELATI</v>
          </cell>
          <cell r="C234">
            <v>75160</v>
          </cell>
        </row>
        <row r="235">
          <cell r="A235" t="str">
            <v>40012069</v>
          </cell>
          <cell r="B235" t="str">
            <v>STAFF/CLERICAL-PRACTICE OP</v>
          </cell>
          <cell r="C235">
            <v>45025</v>
          </cell>
        </row>
        <row r="236">
          <cell r="A236" t="str">
            <v>40012080</v>
          </cell>
          <cell r="B236" t="str">
            <v>STAFF/CLERICAL</v>
          </cell>
          <cell r="C236">
            <v>735.75</v>
          </cell>
        </row>
        <row r="237">
          <cell r="A237" t="str">
            <v>40012083</v>
          </cell>
          <cell r="B237" t="str">
            <v>STAFF/CLERICAL-ENG</v>
          </cell>
          <cell r="C237">
            <v>298713</v>
          </cell>
        </row>
        <row r="238">
          <cell r="A238" t="str">
            <v>40012089</v>
          </cell>
          <cell r="B238" t="str">
            <v>STAFF/CLERICAL REGISTRATION</v>
          </cell>
          <cell r="C238">
            <v>8102</v>
          </cell>
        </row>
        <row r="239">
          <cell r="A239" t="str">
            <v>40012090</v>
          </cell>
          <cell r="B239" t="str">
            <v>CLERICAL-OTHER ADMIN</v>
          </cell>
          <cell r="C239">
            <v>112821</v>
          </cell>
        </row>
        <row r="240">
          <cell r="A240" t="str">
            <v>40012091</v>
          </cell>
          <cell r="B240" t="str">
            <v>STAFF/CLERICAL-MMIS</v>
          </cell>
          <cell r="C240">
            <v>264797</v>
          </cell>
        </row>
        <row r="241">
          <cell r="A241" t="str">
            <v>40012092</v>
          </cell>
          <cell r="B241" t="str">
            <v>STAFF/CLERICAL-ACCT</v>
          </cell>
          <cell r="C241">
            <v>423197</v>
          </cell>
        </row>
        <row r="242">
          <cell r="A242" t="str">
            <v>40012093</v>
          </cell>
          <cell r="B242" t="str">
            <v>STAFF/CLERICAL-FISCAL ADM</v>
          </cell>
          <cell r="C242">
            <v>232384</v>
          </cell>
        </row>
        <row r="243">
          <cell r="A243" t="str">
            <v>40012097</v>
          </cell>
          <cell r="B243" t="str">
            <v>CLERICAL/ VOLUNTEERS</v>
          </cell>
          <cell r="C243">
            <v>132538</v>
          </cell>
        </row>
        <row r="244">
          <cell r="A244" t="str">
            <v>40015002</v>
          </cell>
          <cell r="B244" t="str">
            <v>OTHER EMP CLASS-RMG</v>
          </cell>
          <cell r="C244">
            <v>0</v>
          </cell>
        </row>
        <row r="245">
          <cell r="A245" t="str">
            <v>40015008</v>
          </cell>
          <cell r="B245" t="str">
            <v>OTHER EMP CLASS-PAT CARE SVCS.</v>
          </cell>
          <cell r="C245">
            <v>145675.89000000001</v>
          </cell>
        </row>
        <row r="246">
          <cell r="A246" t="str">
            <v>40015009</v>
          </cell>
          <cell r="B246" t="str">
            <v>OTHER EMP. CLASS-MED/SURG I</v>
          </cell>
          <cell r="C246">
            <v>3050017.85</v>
          </cell>
        </row>
        <row r="247">
          <cell r="A247" t="str">
            <v>40015013</v>
          </cell>
          <cell r="B247" t="str">
            <v>OTHER EMP. CLASS-OBSTETRICS</v>
          </cell>
          <cell r="C247">
            <v>967183.54</v>
          </cell>
        </row>
        <row r="248">
          <cell r="A248" t="str">
            <v>40015015</v>
          </cell>
          <cell r="B248" t="str">
            <v>OTHER EMP. CLASS - ENT</v>
          </cell>
          <cell r="C248">
            <v>78322.8</v>
          </cell>
        </row>
        <row r="249">
          <cell r="A249" t="str">
            <v>40015017</v>
          </cell>
          <cell r="B249" t="str">
            <v>OTHER EMPL CLASS-CVOSM</v>
          </cell>
          <cell r="C249">
            <v>401240.44</v>
          </cell>
        </row>
        <row r="250">
          <cell r="A250" t="str">
            <v>40015018</v>
          </cell>
          <cell r="B250" t="str">
            <v>OTHER EMP CLASS-RMH-PSYCHIATRY</v>
          </cell>
          <cell r="C250">
            <v>1577926.72</v>
          </cell>
        </row>
        <row r="251">
          <cell r="A251" t="str">
            <v>40015019</v>
          </cell>
          <cell r="B251" t="str">
            <v>OTHER EMP. CLASS-PULM REHAB</v>
          </cell>
          <cell r="C251">
            <v>55588.83</v>
          </cell>
        </row>
        <row r="252">
          <cell r="A252" t="str">
            <v>40015020</v>
          </cell>
          <cell r="B252" t="str">
            <v>OTHER EMP. CLASS - MAMMO</v>
          </cell>
          <cell r="C252">
            <v>275372.94</v>
          </cell>
        </row>
        <row r="253">
          <cell r="A253" t="str">
            <v>40015021</v>
          </cell>
          <cell r="B253" t="str">
            <v>OTHER EMP. CLASS-SURGICAL SVC</v>
          </cell>
          <cell r="C253">
            <v>756982.92</v>
          </cell>
        </row>
        <row r="254">
          <cell r="A254" t="str">
            <v>40015022</v>
          </cell>
          <cell r="B254" t="str">
            <v>OTHER EMP. CLASS-RECOVERY RM</v>
          </cell>
          <cell r="C254">
            <v>120943.76</v>
          </cell>
        </row>
        <row r="255">
          <cell r="A255" t="str">
            <v>40015023</v>
          </cell>
          <cell r="B255" t="str">
            <v>OTHER EMP. CLASS-EMERGENCY SVC</v>
          </cell>
          <cell r="C255">
            <v>1925406.23</v>
          </cell>
        </row>
        <row r="256">
          <cell r="A256" t="str">
            <v>40015024</v>
          </cell>
          <cell r="B256" t="str">
            <v>OTHER EMP. CLASS-ONE DAY SRGY</v>
          </cell>
          <cell r="C256">
            <v>395294.92</v>
          </cell>
        </row>
        <row r="257">
          <cell r="A257" t="str">
            <v>40015027</v>
          </cell>
          <cell r="B257" t="str">
            <v>OTHER EMP. CLASS-CENTRAL SVC</v>
          </cell>
          <cell r="C257">
            <v>56467.79</v>
          </cell>
        </row>
        <row r="258">
          <cell r="A258" t="str">
            <v>40015028</v>
          </cell>
          <cell r="B258" t="str">
            <v>OTHER EMP CLASS SPEC PROCEDURE</v>
          </cell>
          <cell r="C258">
            <v>298835.87</v>
          </cell>
        </row>
        <row r="259">
          <cell r="A259" t="str">
            <v>40015029</v>
          </cell>
          <cell r="B259" t="str">
            <v>OTHER EMP.CLASS-SPEC.SERVICES</v>
          </cell>
          <cell r="C259">
            <v>216416.17</v>
          </cell>
        </row>
        <row r="260">
          <cell r="A260" t="str">
            <v>40015036</v>
          </cell>
          <cell r="B260" t="str">
            <v>OTHER EMP CLASS MRI</v>
          </cell>
          <cell r="C260">
            <v>176772.47</v>
          </cell>
        </row>
        <row r="261">
          <cell r="A261" t="str">
            <v>40015037</v>
          </cell>
          <cell r="B261" t="str">
            <v>OTHER EMP CLASS</v>
          </cell>
          <cell r="C261">
            <v>143966.79</v>
          </cell>
        </row>
        <row r="262">
          <cell r="A262" t="str">
            <v>40015040</v>
          </cell>
          <cell r="B262" t="str">
            <v>OTHER EMP CLASS-ULTRASOUND</v>
          </cell>
          <cell r="C262">
            <v>316837</v>
          </cell>
        </row>
        <row r="263">
          <cell r="A263" t="str">
            <v>40015041</v>
          </cell>
          <cell r="B263" t="str">
            <v>OTHER EMPL CLASS-LAB</v>
          </cell>
          <cell r="C263">
            <v>1243792.45</v>
          </cell>
        </row>
        <row r="264">
          <cell r="A264" t="str">
            <v>40015044</v>
          </cell>
          <cell r="B264" t="str">
            <v>OTHER EMP. CLASS-RADIOLOGY</v>
          </cell>
          <cell r="C264">
            <v>788861.11</v>
          </cell>
        </row>
        <row r="265">
          <cell r="A265" t="str">
            <v>40015045</v>
          </cell>
          <cell r="B265" t="str">
            <v>OTHER EMP CLASS-CATSCAN</v>
          </cell>
          <cell r="C265">
            <v>271701.01</v>
          </cell>
        </row>
        <row r="266">
          <cell r="A266" t="str">
            <v>40015046</v>
          </cell>
          <cell r="B266" t="str">
            <v>OTHER EMP. CLASS-NUCLEAR MED</v>
          </cell>
          <cell r="C266">
            <v>82105.149999999994</v>
          </cell>
        </row>
        <row r="267">
          <cell r="A267" t="str">
            <v>40015047</v>
          </cell>
          <cell r="B267" t="str">
            <v>OTHER EMP. CLASS-PHARMACY</v>
          </cell>
          <cell r="C267">
            <v>799912.39</v>
          </cell>
        </row>
        <row r="268">
          <cell r="A268" t="str">
            <v>40015048</v>
          </cell>
          <cell r="B268" t="str">
            <v>OTHER EMP. CLASS-ANESTH</v>
          </cell>
          <cell r="C268">
            <v>50391.08</v>
          </cell>
        </row>
        <row r="269">
          <cell r="A269" t="str">
            <v>40015049</v>
          </cell>
          <cell r="B269" t="str">
            <v>OTHER EMP. CLASS-PHY THERAPY</v>
          </cell>
          <cell r="C269">
            <v>528402.96</v>
          </cell>
        </row>
        <row r="270">
          <cell r="A270" t="str">
            <v>40015050</v>
          </cell>
          <cell r="B270" t="str">
            <v>OTHER EMP. CLASS-RESP THPY</v>
          </cell>
          <cell r="C270">
            <v>400306.54</v>
          </cell>
        </row>
        <row r="271">
          <cell r="A271" t="str">
            <v>40015052</v>
          </cell>
          <cell r="B271" t="str">
            <v>OTHER EMP CLASS-OCCP THERAPY</v>
          </cell>
          <cell r="C271">
            <v>58822.43</v>
          </cell>
        </row>
        <row r="272">
          <cell r="A272" t="str">
            <v>40015054</v>
          </cell>
          <cell r="B272" t="str">
            <v>OTHER EMP. CLASS-SOCIAL SERV</v>
          </cell>
          <cell r="C272">
            <v>62605.07</v>
          </cell>
        </row>
        <row r="273">
          <cell r="A273" t="str">
            <v>40015055</v>
          </cell>
          <cell r="B273" t="str">
            <v>OTHER EMP CLASS</v>
          </cell>
          <cell r="C273">
            <v>209696.81</v>
          </cell>
        </row>
        <row r="274">
          <cell r="A274" t="str">
            <v>40015057</v>
          </cell>
          <cell r="B274" t="str">
            <v>OTHER EMP. CLASS-MED RECORDS</v>
          </cell>
          <cell r="C274">
            <v>220650.11</v>
          </cell>
        </row>
        <row r="275">
          <cell r="A275" t="str">
            <v>40015062</v>
          </cell>
          <cell r="B275" t="str">
            <v>OTHER EMP CLASSES-QUALITY ASR</v>
          </cell>
          <cell r="C275">
            <v>176614.17</v>
          </cell>
        </row>
        <row r="276">
          <cell r="A276" t="str">
            <v>40015063</v>
          </cell>
          <cell r="B276" t="str">
            <v>OTHER EMP. CLASS-COMMUNICATION</v>
          </cell>
          <cell r="C276">
            <v>97874.33</v>
          </cell>
        </row>
        <row r="277">
          <cell r="A277" t="str">
            <v>40015064</v>
          </cell>
          <cell r="B277" t="str">
            <v>OTHER EMP. CLASS-PUR &amp; STORE</v>
          </cell>
          <cell r="C277">
            <v>170440.95</v>
          </cell>
        </row>
        <row r="278">
          <cell r="A278" t="str">
            <v>40015069</v>
          </cell>
          <cell r="B278" t="str">
            <v>OTHER EMPL CLASS-PRACTICE OPER</v>
          </cell>
          <cell r="C278">
            <v>101149.87</v>
          </cell>
        </row>
        <row r="279">
          <cell r="A279" t="str">
            <v>40015072</v>
          </cell>
          <cell r="B279" t="str">
            <v>OTHER EMP CLASS-RMH-MED RECORD</v>
          </cell>
          <cell r="C279">
            <v>45940.54</v>
          </cell>
        </row>
        <row r="280">
          <cell r="A280" t="str">
            <v>40015073</v>
          </cell>
          <cell r="B280" t="str">
            <v>OTHER EMP. CLASS-DAYCARE SPFLD</v>
          </cell>
          <cell r="C280">
            <v>508554.8</v>
          </cell>
        </row>
        <row r="281">
          <cell r="A281" t="str">
            <v>40015076</v>
          </cell>
          <cell r="B281" t="str">
            <v>OTHER EMP. CLASS-ED/HOSP WIDE</v>
          </cell>
          <cell r="C281">
            <v>276174.52</v>
          </cell>
        </row>
        <row r="282">
          <cell r="A282" t="str">
            <v>40015080</v>
          </cell>
          <cell r="B282" t="str">
            <v>OTHER EMP. CLASS-DIETARY SER</v>
          </cell>
          <cell r="C282">
            <v>505887.06</v>
          </cell>
        </row>
        <row r="283">
          <cell r="A283" t="str">
            <v>40015084</v>
          </cell>
          <cell r="B283" t="str">
            <v>OTHER EMP CLASs-RMH-PHYS THRP</v>
          </cell>
          <cell r="C283">
            <v>121059.95</v>
          </cell>
        </row>
        <row r="284">
          <cell r="A284" t="str">
            <v>40015085</v>
          </cell>
          <cell r="B284" t="str">
            <v>OTHER EMP. CLASS-HSKP SERVICES</v>
          </cell>
          <cell r="C284">
            <v>495285.17</v>
          </cell>
        </row>
        <row r="285">
          <cell r="A285" t="str">
            <v>40015086</v>
          </cell>
          <cell r="B285" t="str">
            <v>OTHER EMP. CLASS-LAUNDRY/LINEN</v>
          </cell>
          <cell r="C285">
            <v>31218.05</v>
          </cell>
        </row>
        <row r="286">
          <cell r="A286" t="str">
            <v>40015089</v>
          </cell>
          <cell r="B286" t="str">
            <v>OTHER EMP. CLASS-OUTPT REG</v>
          </cell>
          <cell r="C286">
            <v>359630.41</v>
          </cell>
        </row>
        <row r="287">
          <cell r="A287" t="str">
            <v>40015090</v>
          </cell>
          <cell r="B287" t="str">
            <v>OTHER EMP. CLASS-PATIENT ACCT</v>
          </cell>
          <cell r="C287">
            <v>222502.09</v>
          </cell>
        </row>
        <row r="288">
          <cell r="A288" t="str">
            <v>40015091</v>
          </cell>
          <cell r="B288" t="str">
            <v>OTHER EMP. CLASS-DATA PROCESS</v>
          </cell>
          <cell r="C288">
            <v>209120.19</v>
          </cell>
        </row>
        <row r="289">
          <cell r="A289" t="str">
            <v>40020035</v>
          </cell>
          <cell r="B289" t="str">
            <v>TUITION REIMBURSE-EMP BENEFITS</v>
          </cell>
          <cell r="C289">
            <v>6000</v>
          </cell>
        </row>
        <row r="290">
          <cell r="A290" t="str">
            <v>40021035</v>
          </cell>
          <cell r="B290" t="str">
            <v>FICA-EMPLOYEE BENEFITS</v>
          </cell>
          <cell r="C290">
            <v>1871657.78</v>
          </cell>
        </row>
        <row r="291">
          <cell r="A291" t="str">
            <v>40022035</v>
          </cell>
          <cell r="B291" t="str">
            <v>SUI AND FUI-EMPLOYEE BENEFITS</v>
          </cell>
          <cell r="C291">
            <v>16643.349999999999</v>
          </cell>
        </row>
        <row r="292">
          <cell r="A292" t="str">
            <v>40023035</v>
          </cell>
          <cell r="B292" t="str">
            <v>GROUP HEALTH INS.-EMP BENE</v>
          </cell>
          <cell r="C292">
            <v>4023630.05</v>
          </cell>
        </row>
        <row r="293">
          <cell r="A293" t="str">
            <v>40024035</v>
          </cell>
          <cell r="B293" t="str">
            <v>DENTAL INSURANCE-EMPLOYEE BENE</v>
          </cell>
          <cell r="C293">
            <v>29480.7</v>
          </cell>
        </row>
        <row r="294">
          <cell r="A294" t="str">
            <v>40025035</v>
          </cell>
          <cell r="B294" t="str">
            <v>PENSION AND RETIRE-EMP BENEFIT</v>
          </cell>
          <cell r="C294">
            <v>358780.15</v>
          </cell>
        </row>
        <row r="295">
          <cell r="A295" t="str">
            <v>40026035</v>
          </cell>
          <cell r="B295" t="str">
            <v>WORKMENS COMP INS-EMP BENEFITS</v>
          </cell>
          <cell r="C295">
            <v>397527.76</v>
          </cell>
        </row>
        <row r="296">
          <cell r="A296" t="str">
            <v>40027035</v>
          </cell>
          <cell r="B296" t="str">
            <v>LIFE INSURANCE-EMP BENEFITS</v>
          </cell>
          <cell r="C296">
            <v>15154</v>
          </cell>
        </row>
        <row r="297">
          <cell r="A297" t="str">
            <v>40028017</v>
          </cell>
          <cell r="B297" t="str">
            <v>DISABILITY INS.</v>
          </cell>
          <cell r="C297">
            <v>200.93</v>
          </cell>
        </row>
        <row r="298">
          <cell r="A298" t="str">
            <v>40028035</v>
          </cell>
          <cell r="B298" t="str">
            <v>DISABILITY INSURANCE-EMP BENE</v>
          </cell>
          <cell r="C298">
            <v>100938.32</v>
          </cell>
        </row>
        <row r="299">
          <cell r="A299" t="str">
            <v>40029035</v>
          </cell>
          <cell r="B299" t="str">
            <v>EMP BENEFITS NON PAY-EMP BENE</v>
          </cell>
          <cell r="C299">
            <v>105004.53</v>
          </cell>
        </row>
        <row r="300">
          <cell r="A300" t="str">
            <v>40030026</v>
          </cell>
          <cell r="B300" t="str">
            <v>LOCUMS</v>
          </cell>
          <cell r="C300">
            <v>642435.5</v>
          </cell>
        </row>
        <row r="301">
          <cell r="A301" t="str">
            <v>40030029</v>
          </cell>
          <cell r="B301" t="str">
            <v>LOCUM EXPENSE</v>
          </cell>
          <cell r="C301">
            <v>146347.65</v>
          </cell>
        </row>
        <row r="302">
          <cell r="A302" t="str">
            <v>40030037</v>
          </cell>
          <cell r="B302" t="str">
            <v>LOCUMS - SURGERY</v>
          </cell>
          <cell r="C302">
            <v>89662.82</v>
          </cell>
        </row>
        <row r="303">
          <cell r="A303" t="str">
            <v>40030041</v>
          </cell>
          <cell r="B303" t="str">
            <v>LOCUMS</v>
          </cell>
          <cell r="C303">
            <v>121760.98</v>
          </cell>
        </row>
        <row r="304">
          <cell r="A304" t="str">
            <v>40030048</v>
          </cell>
          <cell r="B304" t="str">
            <v>LOCUM EXPENSE</v>
          </cell>
          <cell r="C304">
            <v>0</v>
          </cell>
        </row>
        <row r="305">
          <cell r="A305" t="str">
            <v>40030058</v>
          </cell>
          <cell r="B305" t="str">
            <v>LOCUM EXPENSE</v>
          </cell>
          <cell r="C305">
            <v>754850.97</v>
          </cell>
        </row>
        <row r="306">
          <cell r="A306" t="str">
            <v>40030060</v>
          </cell>
          <cell r="B306" t="str">
            <v>LOCUM EXPENSE</v>
          </cell>
          <cell r="C306">
            <v>252891.09</v>
          </cell>
        </row>
        <row r="307">
          <cell r="A307" t="str">
            <v>40030069</v>
          </cell>
          <cell r="B307" t="str">
            <v>LOCUM EXPENSE</v>
          </cell>
          <cell r="C307">
            <v>28473.52</v>
          </cell>
        </row>
        <row r="308">
          <cell r="A308" t="str">
            <v>40030096</v>
          </cell>
          <cell r="B308" t="str">
            <v>LOCUM EXPENSE</v>
          </cell>
          <cell r="C308">
            <v>21600</v>
          </cell>
        </row>
        <row r="309">
          <cell r="A309" t="str">
            <v>40031002</v>
          </cell>
          <cell r="B309" t="str">
            <v>PHYSICIAN FEES-RMG</v>
          </cell>
          <cell r="C309">
            <v>0</v>
          </cell>
        </row>
        <row r="310">
          <cell r="A310" t="str">
            <v>40031015</v>
          </cell>
          <cell r="B310" t="str">
            <v>PHYSICIAN FEES - ENT</v>
          </cell>
          <cell r="C310">
            <v>348946.95</v>
          </cell>
        </row>
        <row r="311">
          <cell r="A311" t="str">
            <v>40031017</v>
          </cell>
          <cell r="B311" t="str">
            <v>PHYSICIAN FEES - CVOSM</v>
          </cell>
          <cell r="C311">
            <v>1450341.8</v>
          </cell>
        </row>
        <row r="312">
          <cell r="A312" t="str">
            <v>40031018</v>
          </cell>
          <cell r="B312" t="str">
            <v>PHYSICIAN FEE-RMH-PSYCHIATRY</v>
          </cell>
          <cell r="C312">
            <v>175580.5</v>
          </cell>
        </row>
        <row r="313">
          <cell r="A313" t="str">
            <v>40031037</v>
          </cell>
          <cell r="B313" t="str">
            <v>PHYSICIAN FEES-SURGEONS</v>
          </cell>
          <cell r="C313">
            <v>965860.81</v>
          </cell>
        </row>
        <row r="314">
          <cell r="A314" t="str">
            <v>40031043</v>
          </cell>
          <cell r="B314" t="str">
            <v>PHYSICIAN FEES-ELECTROCARDIOLO</v>
          </cell>
          <cell r="C314">
            <v>112514.35</v>
          </cell>
        </row>
        <row r="315">
          <cell r="A315" t="str">
            <v>40031058</v>
          </cell>
          <cell r="B315" t="str">
            <v>PHYSICIAN FEES - ANES. PHYS.</v>
          </cell>
          <cell r="C315">
            <v>1293587.8600000001</v>
          </cell>
        </row>
        <row r="316">
          <cell r="A316" t="str">
            <v>40031060</v>
          </cell>
          <cell r="B316" t="str">
            <v>PHYSICIAN FEES-ADM &amp; GEN</v>
          </cell>
          <cell r="C316">
            <v>1524.16</v>
          </cell>
        </row>
        <row r="317">
          <cell r="A317" t="str">
            <v>40031062</v>
          </cell>
          <cell r="B317" t="str">
            <v>PHYSICIAN FEES</v>
          </cell>
          <cell r="C317">
            <v>13526.7</v>
          </cell>
        </row>
        <row r="318">
          <cell r="A318" t="str">
            <v>40031069</v>
          </cell>
          <cell r="B318" t="str">
            <v>PHYSICIAN FEES-PRACTICE OPERAT</v>
          </cell>
          <cell r="C318">
            <v>572.79999999999995</v>
          </cell>
        </row>
        <row r="319">
          <cell r="A319" t="str">
            <v>40031096</v>
          </cell>
          <cell r="B319" t="str">
            <v>PHYSICIAN FEES-HOSPITALIST</v>
          </cell>
          <cell r="C319">
            <v>1370514.52</v>
          </cell>
        </row>
        <row r="320">
          <cell r="A320" t="str">
            <v>40032013</v>
          </cell>
          <cell r="B320" t="str">
            <v>GRANT EXPENSE</v>
          </cell>
          <cell r="C320">
            <v>163.44999999999999</v>
          </cell>
        </row>
        <row r="321">
          <cell r="A321" t="str">
            <v>40032029</v>
          </cell>
          <cell r="B321" t="str">
            <v>GRANT EXPENSE - ONCOLOGY</v>
          </cell>
          <cell r="C321">
            <v>4472.8999999999996</v>
          </cell>
        </row>
        <row r="322">
          <cell r="A322" t="str">
            <v>40032060</v>
          </cell>
          <cell r="B322" t="str">
            <v>GRANT EXPENSE-ADMIN</v>
          </cell>
          <cell r="C322">
            <v>13480.2</v>
          </cell>
        </row>
        <row r="323">
          <cell r="A323" t="str">
            <v>40033061</v>
          </cell>
          <cell r="B323" t="str">
            <v>CONSULTING + MAN FEE-PERSONNEL</v>
          </cell>
          <cell r="C323">
            <v>31688.2</v>
          </cell>
        </row>
        <row r="324">
          <cell r="A324" t="str">
            <v>40034060</v>
          </cell>
          <cell r="B324" t="str">
            <v>LEGAL FEES-ADM AND GEN</v>
          </cell>
          <cell r="C324">
            <v>138811.19</v>
          </cell>
        </row>
        <row r="325">
          <cell r="A325" t="str">
            <v>40035092</v>
          </cell>
          <cell r="B325" t="str">
            <v>ACCOUNTING &amp; AUDIT FEES</v>
          </cell>
          <cell r="C325">
            <v>113915.09</v>
          </cell>
        </row>
        <row r="326">
          <cell r="A326" t="str">
            <v>40039015</v>
          </cell>
          <cell r="B326" t="str">
            <v>OTHER FEES - ENT</v>
          </cell>
          <cell r="C326">
            <v>4664.99</v>
          </cell>
        </row>
        <row r="327">
          <cell r="A327" t="str">
            <v>40039017</v>
          </cell>
          <cell r="B327" t="str">
            <v>OTHER FEES</v>
          </cell>
          <cell r="C327">
            <v>2245.77</v>
          </cell>
        </row>
        <row r="328">
          <cell r="A328" t="str">
            <v>40039037</v>
          </cell>
          <cell r="B328" t="str">
            <v>OTHER FEES</v>
          </cell>
          <cell r="C328">
            <v>1207.42</v>
          </cell>
        </row>
        <row r="329">
          <cell r="A329" t="str">
            <v>40039049</v>
          </cell>
          <cell r="B329" t="str">
            <v>OTHER FEES - PHY THERAPY</v>
          </cell>
          <cell r="C329">
            <v>1052.69</v>
          </cell>
        </row>
        <row r="330">
          <cell r="A330" t="str">
            <v>40039060</v>
          </cell>
          <cell r="B330" t="str">
            <v>OTHER FEES-ADM AND GENERAL</v>
          </cell>
          <cell r="C330">
            <v>57194.41</v>
          </cell>
        </row>
        <row r="331">
          <cell r="A331" t="str">
            <v>40039069</v>
          </cell>
          <cell r="B331" t="str">
            <v>OTHER FEES - GOVERNING BOARD</v>
          </cell>
          <cell r="C331">
            <v>6580.36</v>
          </cell>
        </row>
        <row r="332">
          <cell r="A332" t="str">
            <v>40039080</v>
          </cell>
          <cell r="B332" t="str">
            <v>OTHER FEES-DIETARY SERVICES</v>
          </cell>
          <cell r="C332">
            <v>6215.79</v>
          </cell>
        </row>
        <row r="333">
          <cell r="A333" t="str">
            <v>40039090</v>
          </cell>
          <cell r="B333" t="str">
            <v>OTHER FEES-PATIENT ACCT</v>
          </cell>
          <cell r="C333">
            <v>53401.58</v>
          </cell>
        </row>
        <row r="334">
          <cell r="A334" t="str">
            <v>40039092</v>
          </cell>
          <cell r="B334" t="str">
            <v>OTHER FEES-GENERAL ACCT</v>
          </cell>
          <cell r="C334">
            <v>100906.13</v>
          </cell>
        </row>
        <row r="335">
          <cell r="A335" t="str">
            <v>40041021</v>
          </cell>
          <cell r="B335" t="str">
            <v>PROSTHESES-OR</v>
          </cell>
          <cell r="C335">
            <v>982884.54</v>
          </cell>
        </row>
        <row r="336">
          <cell r="A336" t="str">
            <v>40042013</v>
          </cell>
          <cell r="B336" t="str">
            <v>GENERAL SUPPLY-OBSTETRICS</v>
          </cell>
          <cell r="C336">
            <v>4985.07</v>
          </cell>
        </row>
        <row r="337">
          <cell r="A337" t="str">
            <v>40042021</v>
          </cell>
          <cell r="B337" t="str">
            <v>SUPPLIES GENERAL - OR</v>
          </cell>
          <cell r="C337">
            <v>419285.91</v>
          </cell>
        </row>
        <row r="338">
          <cell r="A338" t="str">
            <v>40042023</v>
          </cell>
          <cell r="B338" t="str">
            <v>SUPPLIES GENERAL-EMERGNCY SVCS</v>
          </cell>
          <cell r="C338">
            <v>2731.38</v>
          </cell>
        </row>
        <row r="339">
          <cell r="A339" t="str">
            <v>40042028</v>
          </cell>
          <cell r="B339" t="str">
            <v>SUPPLIES GENERAL-SPEC. PROC.</v>
          </cell>
          <cell r="C339">
            <v>11286</v>
          </cell>
        </row>
        <row r="340">
          <cell r="A340" t="str">
            <v>40042041</v>
          </cell>
          <cell r="B340" t="str">
            <v>SUPPLIES GENERALS-LAB CLIN</v>
          </cell>
          <cell r="C340">
            <v>38.17</v>
          </cell>
        </row>
        <row r="341">
          <cell r="A341" t="str">
            <v>40043047</v>
          </cell>
          <cell r="B341" t="str">
            <v>ANESTHETIC MATERIAL-PHARMACY</v>
          </cell>
          <cell r="C341">
            <v>1200</v>
          </cell>
        </row>
        <row r="342">
          <cell r="A342" t="str">
            <v>40043048</v>
          </cell>
          <cell r="B342" t="str">
            <v>ANESTHETIC MATERIALS-ANESTH</v>
          </cell>
          <cell r="C342">
            <v>13567.78</v>
          </cell>
        </row>
        <row r="343">
          <cell r="A343" t="str">
            <v>40044021</v>
          </cell>
          <cell r="B343" t="str">
            <v>OXYGEN + OTHER GASES - OR</v>
          </cell>
          <cell r="C343">
            <v>7752.98</v>
          </cell>
        </row>
        <row r="344">
          <cell r="A344" t="str">
            <v>40044029</v>
          </cell>
          <cell r="B344" t="str">
            <v>OXYGEN &amp; OTHER GASES-SPEC SRV</v>
          </cell>
          <cell r="C344">
            <v>5.98</v>
          </cell>
        </row>
        <row r="345">
          <cell r="A345" t="str">
            <v>40044050</v>
          </cell>
          <cell r="B345" t="str">
            <v>OXYGEN + OTHER GASES-RESP THPY</v>
          </cell>
          <cell r="C345">
            <v>29637.03</v>
          </cell>
        </row>
        <row r="346">
          <cell r="A346" t="str">
            <v>40044083</v>
          </cell>
          <cell r="B346" t="str">
            <v>OXY &amp; OTHER GASES ENGINEERING</v>
          </cell>
          <cell r="C346">
            <v>7252.6</v>
          </cell>
        </row>
        <row r="347">
          <cell r="A347" t="str">
            <v>40045009</v>
          </cell>
          <cell r="B347" t="str">
            <v>IV SOLUTIONS-MED/SURG</v>
          </cell>
          <cell r="C347">
            <v>6684</v>
          </cell>
        </row>
        <row r="348">
          <cell r="A348" t="str">
            <v>40045013</v>
          </cell>
          <cell r="B348" t="str">
            <v>IV SOLUTIONS-OBSTETRICS</v>
          </cell>
          <cell r="C348">
            <v>1236</v>
          </cell>
        </row>
        <row r="349">
          <cell r="A349" t="str">
            <v>40045018</v>
          </cell>
          <cell r="B349" t="str">
            <v>IV SOLUTIONS-RMH-PSYCHIATRY</v>
          </cell>
          <cell r="C349">
            <v>19.91</v>
          </cell>
        </row>
        <row r="350">
          <cell r="A350" t="str">
            <v>40045021</v>
          </cell>
          <cell r="B350" t="str">
            <v>IV SOLUTIONS - OR</v>
          </cell>
          <cell r="C350">
            <v>20072.93</v>
          </cell>
        </row>
        <row r="351">
          <cell r="A351" t="str">
            <v>40045022</v>
          </cell>
          <cell r="B351" t="str">
            <v>IV SOLUTIONS-RECOVERY</v>
          </cell>
          <cell r="C351">
            <v>147.32</v>
          </cell>
        </row>
        <row r="352">
          <cell r="A352" t="str">
            <v>40045023</v>
          </cell>
          <cell r="B352" t="str">
            <v>IV SOLUTIONS-EMERGENCY SVCS.</v>
          </cell>
          <cell r="C352">
            <v>12092.19</v>
          </cell>
        </row>
        <row r="353">
          <cell r="A353" t="str">
            <v>40045024</v>
          </cell>
          <cell r="B353" t="str">
            <v>IV SOLUTIONS-ONE DAY SURGERY</v>
          </cell>
          <cell r="C353">
            <v>1294.08</v>
          </cell>
        </row>
        <row r="354">
          <cell r="A354" t="str">
            <v>40045028</v>
          </cell>
          <cell r="B354" t="str">
            <v>IV SOLUTIONS-SPEC PROCEDURES</v>
          </cell>
          <cell r="C354">
            <v>2040.8</v>
          </cell>
        </row>
        <row r="355">
          <cell r="A355" t="str">
            <v>40045029</v>
          </cell>
          <cell r="B355" t="str">
            <v>IV SOLUTIONS-SPECIALTY SVCS</v>
          </cell>
          <cell r="C355">
            <v>340.54</v>
          </cell>
        </row>
        <row r="356">
          <cell r="A356" t="str">
            <v>40045036</v>
          </cell>
          <cell r="B356" t="str">
            <v>IV SOLUTIONS - MRI</v>
          </cell>
          <cell r="C356">
            <v>92.07</v>
          </cell>
        </row>
        <row r="357">
          <cell r="A357" t="str">
            <v>40045044</v>
          </cell>
          <cell r="B357" t="str">
            <v>IV SOLUTIONS- RADIOLOGY</v>
          </cell>
          <cell r="C357">
            <v>217.69</v>
          </cell>
        </row>
        <row r="358">
          <cell r="A358" t="str">
            <v>40045047</v>
          </cell>
          <cell r="B358" t="str">
            <v>IV SOLUTIONS-PHARMACY</v>
          </cell>
          <cell r="C358">
            <v>52601.46</v>
          </cell>
        </row>
        <row r="359">
          <cell r="A359" t="str">
            <v>40045048</v>
          </cell>
          <cell r="B359" t="str">
            <v>IV SOLUTIONS-ANESTH</v>
          </cell>
          <cell r="C359">
            <v>10.75</v>
          </cell>
        </row>
        <row r="360">
          <cell r="A360" t="str">
            <v>40045050</v>
          </cell>
          <cell r="B360" t="str">
            <v>IV SOLUTIONS-RESP THPY</v>
          </cell>
          <cell r="C360">
            <v>20.86</v>
          </cell>
        </row>
        <row r="361">
          <cell r="A361" t="str">
            <v>40046002</v>
          </cell>
          <cell r="B361" t="str">
            <v>PHARMACEUTICALS-GRT FALLS FAM</v>
          </cell>
          <cell r="C361">
            <v>0</v>
          </cell>
        </row>
        <row r="362">
          <cell r="A362" t="str">
            <v>40046009</v>
          </cell>
          <cell r="B362" t="str">
            <v>PHARMACEUTICALS-MED/SURG</v>
          </cell>
          <cell r="C362">
            <v>6320.86</v>
          </cell>
        </row>
        <row r="363">
          <cell r="A363" t="str">
            <v>40046013</v>
          </cell>
          <cell r="B363" t="str">
            <v>PHARMACEUTICALS-OBSTETRICS</v>
          </cell>
          <cell r="C363">
            <v>612.52</v>
          </cell>
        </row>
        <row r="364">
          <cell r="A364" t="str">
            <v>40046014</v>
          </cell>
          <cell r="B364" t="str">
            <v>PHARMACEUTICALS</v>
          </cell>
          <cell r="C364">
            <v>0</v>
          </cell>
        </row>
        <row r="365">
          <cell r="A365" t="str">
            <v>40046015</v>
          </cell>
          <cell r="B365" t="str">
            <v>PHARMACEUTICALS - ENT</v>
          </cell>
          <cell r="C365">
            <v>216.96</v>
          </cell>
        </row>
        <row r="366">
          <cell r="A366" t="str">
            <v>40046017</v>
          </cell>
          <cell r="B366" t="str">
            <v>PHARMACEUTICALS</v>
          </cell>
          <cell r="C366">
            <v>20670.34</v>
          </cell>
        </row>
        <row r="367">
          <cell r="A367" t="str">
            <v>40046020</v>
          </cell>
          <cell r="B367" t="str">
            <v>PHARMACEUTICALS</v>
          </cell>
          <cell r="C367">
            <v>1145.3</v>
          </cell>
        </row>
        <row r="368">
          <cell r="A368" t="str">
            <v>40046021</v>
          </cell>
          <cell r="B368" t="str">
            <v>PHARMACEUTICALS - OR</v>
          </cell>
          <cell r="C368">
            <v>4590.16</v>
          </cell>
        </row>
        <row r="369">
          <cell r="A369" t="str">
            <v>40046022</v>
          </cell>
          <cell r="B369" t="str">
            <v>PHARMACEUTICALS-RECOVERY</v>
          </cell>
          <cell r="C369">
            <v>17.77</v>
          </cell>
        </row>
        <row r="370">
          <cell r="A370" t="str">
            <v>40046023</v>
          </cell>
          <cell r="B370" t="str">
            <v>PHARMACEUTICALS-EMERGNCY SVCS.</v>
          </cell>
          <cell r="C370">
            <v>3673.03</v>
          </cell>
        </row>
        <row r="371">
          <cell r="A371" t="str">
            <v>40046024</v>
          </cell>
          <cell r="B371" t="str">
            <v>PHARMACEUTICALS-ONE DAY SURGRY</v>
          </cell>
          <cell r="C371">
            <v>69.56</v>
          </cell>
        </row>
        <row r="372">
          <cell r="A372" t="str">
            <v>40046025</v>
          </cell>
          <cell r="B372" t="str">
            <v>PHARMACEUTICALS</v>
          </cell>
          <cell r="C372">
            <v>0</v>
          </cell>
        </row>
        <row r="373">
          <cell r="A373" t="str">
            <v>40046028</v>
          </cell>
          <cell r="B373" t="str">
            <v>PHARMACEUTICALS-SPEC PROCEDURE</v>
          </cell>
          <cell r="C373">
            <v>80</v>
          </cell>
        </row>
        <row r="374">
          <cell r="A374" t="str">
            <v>40046029</v>
          </cell>
          <cell r="B374" t="str">
            <v>PHARMECEUTICALS-SPECIALTY SERV</v>
          </cell>
          <cell r="C374">
            <v>621.75</v>
          </cell>
        </row>
        <row r="375">
          <cell r="A375" t="str">
            <v>40046036</v>
          </cell>
          <cell r="B375" t="str">
            <v>PHARMACEUTICALS - MRI</v>
          </cell>
          <cell r="C375">
            <v>144.05000000000001</v>
          </cell>
        </row>
        <row r="376">
          <cell r="A376" t="str">
            <v>40046037</v>
          </cell>
          <cell r="B376" t="str">
            <v>PHARMACEUTICALS</v>
          </cell>
          <cell r="C376">
            <v>32.56</v>
          </cell>
        </row>
        <row r="377">
          <cell r="A377" t="str">
            <v>40046038</v>
          </cell>
          <cell r="B377" t="str">
            <v>PHARMACEUTICALS-OUTSIDE SALES</v>
          </cell>
          <cell r="C377">
            <v>0</v>
          </cell>
        </row>
        <row r="378">
          <cell r="A378" t="str">
            <v>40046041</v>
          </cell>
          <cell r="B378" t="str">
            <v>PHARMACEUTICALS-LAB-CLIN</v>
          </cell>
          <cell r="C378">
            <v>57.17</v>
          </cell>
        </row>
        <row r="379">
          <cell r="A379" t="str">
            <v>40046042</v>
          </cell>
          <cell r="B379" t="str">
            <v>PHARMACEUTICALS-BLOOD BANK</v>
          </cell>
          <cell r="C379">
            <v>35.43</v>
          </cell>
        </row>
        <row r="380">
          <cell r="A380" t="str">
            <v>40046043</v>
          </cell>
          <cell r="B380" t="str">
            <v>PHARMACEUTICALS-ELECTROCARDIOL</v>
          </cell>
          <cell r="C380">
            <v>37.24</v>
          </cell>
        </row>
        <row r="381">
          <cell r="A381" t="str">
            <v>40046044</v>
          </cell>
          <cell r="B381" t="str">
            <v>PHARMACEUTICALS-RADIOLOGY</v>
          </cell>
          <cell r="C381">
            <v>25343.5</v>
          </cell>
        </row>
        <row r="382">
          <cell r="A382" t="str">
            <v>40046045</v>
          </cell>
          <cell r="B382" t="str">
            <v>PHARMACEUTICALS-CAT SCAN</v>
          </cell>
          <cell r="C382">
            <v>20099.59</v>
          </cell>
        </row>
        <row r="383">
          <cell r="A383" t="str">
            <v>40046046</v>
          </cell>
          <cell r="B383" t="str">
            <v>PHARMACEUTICALS-NUC MED</v>
          </cell>
          <cell r="C383">
            <v>2203.13</v>
          </cell>
        </row>
        <row r="384">
          <cell r="A384" t="str">
            <v>40046047</v>
          </cell>
          <cell r="B384" t="str">
            <v>PHARMACEUTICALS-PHARMACY</v>
          </cell>
          <cell r="C384">
            <v>1742291.22</v>
          </cell>
        </row>
        <row r="385">
          <cell r="A385" t="str">
            <v>40046048</v>
          </cell>
          <cell r="B385" t="str">
            <v>PHARMACEUTICALS-ANESTH</v>
          </cell>
          <cell r="C385">
            <v>-81.87</v>
          </cell>
        </row>
        <row r="386">
          <cell r="A386" t="str">
            <v>40046049</v>
          </cell>
          <cell r="B386" t="str">
            <v>PHARAMCEUTICALS</v>
          </cell>
          <cell r="C386">
            <v>1550.39</v>
          </cell>
        </row>
        <row r="387">
          <cell r="A387" t="str">
            <v>40046050</v>
          </cell>
          <cell r="B387" t="str">
            <v>PHARMACEUTICALS-RESP THPY</v>
          </cell>
          <cell r="C387">
            <v>99.67</v>
          </cell>
        </row>
        <row r="388">
          <cell r="A388" t="str">
            <v>40048020</v>
          </cell>
          <cell r="B388" t="str">
            <v>RADIOLOGY FILMS - MAMMO</v>
          </cell>
          <cell r="C388">
            <v>1260.83</v>
          </cell>
        </row>
        <row r="389">
          <cell r="A389" t="str">
            <v>40049001</v>
          </cell>
          <cell r="B389" t="str">
            <v>OTHER MED. SUPPLIES - CHESTER</v>
          </cell>
          <cell r="C389">
            <v>0</v>
          </cell>
        </row>
        <row r="390">
          <cell r="A390" t="str">
            <v>40049002</v>
          </cell>
          <cell r="B390" t="str">
            <v>OTHER MED SUPPL-RMG</v>
          </cell>
          <cell r="C390">
            <v>0</v>
          </cell>
        </row>
        <row r="391">
          <cell r="A391" t="str">
            <v>40049006</v>
          </cell>
          <cell r="B391" t="str">
            <v>OTHER MED SUPPLIES-CHRLSTN FAM</v>
          </cell>
          <cell r="C391">
            <v>0</v>
          </cell>
        </row>
        <row r="392">
          <cell r="A392" t="str">
            <v>40049009</v>
          </cell>
          <cell r="B392" t="str">
            <v>OTHER MED CARE SUP-MSU</v>
          </cell>
          <cell r="C392">
            <v>112910.29</v>
          </cell>
        </row>
        <row r="393">
          <cell r="A393" t="str">
            <v>40049013</v>
          </cell>
          <cell r="B393" t="str">
            <v>OTHER MED CARE SUP-CHILDBIRTH</v>
          </cell>
          <cell r="C393">
            <v>37167.589999999997</v>
          </cell>
        </row>
        <row r="394">
          <cell r="A394" t="str">
            <v>40049014</v>
          </cell>
          <cell r="B394" t="str">
            <v>OTHER MED SUPPLIES</v>
          </cell>
          <cell r="C394">
            <v>0</v>
          </cell>
        </row>
        <row r="395">
          <cell r="A395" t="str">
            <v>40049015</v>
          </cell>
          <cell r="B395" t="str">
            <v>OTHER MED CARE SUP - ENT</v>
          </cell>
          <cell r="C395">
            <v>7012.35</v>
          </cell>
        </row>
        <row r="396">
          <cell r="A396" t="str">
            <v>40049017</v>
          </cell>
          <cell r="B396" t="str">
            <v>OTHER MED. CARE SUP-CVOSM</v>
          </cell>
          <cell r="C396">
            <v>798.78</v>
          </cell>
        </row>
        <row r="397">
          <cell r="A397" t="str">
            <v>40049018</v>
          </cell>
          <cell r="B397" t="str">
            <v>OTHER MED CARE SUPP-WINDHAM</v>
          </cell>
          <cell r="C397">
            <v>1598.25</v>
          </cell>
        </row>
        <row r="398">
          <cell r="A398" t="str">
            <v>40049019</v>
          </cell>
          <cell r="B398" t="str">
            <v>OTHER MED CARE SUP-PULM REHAB</v>
          </cell>
          <cell r="C398">
            <v>122.69</v>
          </cell>
        </row>
        <row r="399">
          <cell r="A399" t="str">
            <v>40049020</v>
          </cell>
          <cell r="B399" t="str">
            <v>OTHER MEDICAL CARE - MAMMO</v>
          </cell>
          <cell r="C399">
            <v>1683.04</v>
          </cell>
        </row>
        <row r="400">
          <cell r="A400" t="str">
            <v>40049021</v>
          </cell>
          <cell r="B400" t="str">
            <v>OTHER MED CARE SUP-SURGICAL SV</v>
          </cell>
          <cell r="C400">
            <v>289027.53000000003</v>
          </cell>
        </row>
        <row r="401">
          <cell r="A401" t="str">
            <v>40049022</v>
          </cell>
          <cell r="B401" t="str">
            <v>OTHER MED CARE SUP-RECOVERY RM</v>
          </cell>
          <cell r="C401">
            <v>2683.75</v>
          </cell>
        </row>
        <row r="402">
          <cell r="A402" t="str">
            <v>40049023</v>
          </cell>
          <cell r="B402" t="str">
            <v>OTHER MED CARE SUP-EMERG. SVCS</v>
          </cell>
          <cell r="C402">
            <v>221100.43</v>
          </cell>
        </row>
        <row r="403">
          <cell r="A403" t="str">
            <v>40049024</v>
          </cell>
          <cell r="B403" t="str">
            <v>OTHER MED CARE SUP-1 DAY SURGY</v>
          </cell>
          <cell r="C403">
            <v>18812.599999999999</v>
          </cell>
        </row>
        <row r="404">
          <cell r="A404" t="str">
            <v>40049028</v>
          </cell>
          <cell r="B404" t="str">
            <v>OTHER MED CARE SUP-SPEC.PROC.</v>
          </cell>
          <cell r="C404">
            <v>63350.6</v>
          </cell>
        </row>
        <row r="405">
          <cell r="A405" t="str">
            <v>40049029</v>
          </cell>
          <cell r="B405" t="str">
            <v>OTHER MED CARE SUP-SPEC.SERV.</v>
          </cell>
          <cell r="C405">
            <v>11556.36</v>
          </cell>
        </row>
        <row r="406">
          <cell r="A406" t="str">
            <v>40049036</v>
          </cell>
          <cell r="B406" t="str">
            <v>OTHER MED CARE SUP / MRI</v>
          </cell>
          <cell r="C406">
            <v>6837.51</v>
          </cell>
        </row>
        <row r="407">
          <cell r="A407" t="str">
            <v>40049037</v>
          </cell>
          <cell r="B407" t="str">
            <v>OTHER MED CARE SUPP-SURGICAL</v>
          </cell>
          <cell r="C407">
            <v>1821.73</v>
          </cell>
        </row>
        <row r="408">
          <cell r="A408" t="str">
            <v>40049038</v>
          </cell>
          <cell r="B408" t="str">
            <v>OTHER MED CARE SUPP-OUTSIDE SA</v>
          </cell>
          <cell r="C408">
            <v>0</v>
          </cell>
        </row>
        <row r="409">
          <cell r="A409" t="str">
            <v>40049040</v>
          </cell>
          <cell r="B409" t="str">
            <v>MED/SURG SUPPLIES-ULTRASOUND</v>
          </cell>
          <cell r="C409">
            <v>11172.64</v>
          </cell>
        </row>
        <row r="410">
          <cell r="A410" t="str">
            <v>40049041</v>
          </cell>
          <cell r="B410" t="str">
            <v>OTHER MED CARE SUP-LAB-CLIN</v>
          </cell>
          <cell r="C410">
            <v>7267.47</v>
          </cell>
        </row>
        <row r="411">
          <cell r="A411" t="str">
            <v>40049042</v>
          </cell>
          <cell r="B411" t="str">
            <v>OTHER MED CARE SUP-BLOOD BANK</v>
          </cell>
          <cell r="C411">
            <v>167490.91</v>
          </cell>
        </row>
        <row r="412">
          <cell r="A412" t="str">
            <v>40049043</v>
          </cell>
          <cell r="B412" t="str">
            <v>OTHER MED CARE SUP-ELECTROCARD</v>
          </cell>
          <cell r="C412">
            <v>262.95999999999998</v>
          </cell>
        </row>
        <row r="413">
          <cell r="A413" t="str">
            <v>40049044</v>
          </cell>
          <cell r="B413" t="str">
            <v>OTHER MED CARE SUP-RADIOLOGY</v>
          </cell>
          <cell r="C413">
            <v>19955.93</v>
          </cell>
        </row>
        <row r="414">
          <cell r="A414" t="str">
            <v>40049045</v>
          </cell>
          <cell r="B414" t="str">
            <v>OTHER MED CARE SUP-CAT SCAN</v>
          </cell>
          <cell r="C414">
            <v>84249.87</v>
          </cell>
        </row>
        <row r="415">
          <cell r="A415" t="str">
            <v>40049046</v>
          </cell>
          <cell r="B415" t="str">
            <v>OTHER MED CARE SUP-NUCLEAR MED</v>
          </cell>
          <cell r="C415">
            <v>50863.31</v>
          </cell>
        </row>
        <row r="416">
          <cell r="A416" t="str">
            <v>40049047</v>
          </cell>
          <cell r="B416" t="str">
            <v>OTHER MED CARE SUP-PHARMACY</v>
          </cell>
          <cell r="C416">
            <v>9456.3700000000008</v>
          </cell>
        </row>
        <row r="417">
          <cell r="A417" t="str">
            <v>40049048</v>
          </cell>
          <cell r="B417" t="str">
            <v>OTHER MED CARE SUP-ANESTH</v>
          </cell>
          <cell r="C417">
            <v>33762.400000000001</v>
          </cell>
        </row>
        <row r="418">
          <cell r="A418" t="str">
            <v>40049049</v>
          </cell>
          <cell r="B418" t="str">
            <v>OTHER MED CARE SUP-PHY THERAPY</v>
          </cell>
          <cell r="C418">
            <v>5179.91</v>
          </cell>
        </row>
        <row r="419">
          <cell r="A419" t="str">
            <v>40049050</v>
          </cell>
          <cell r="B419" t="str">
            <v>OTHER MED CARE-RESP THERAPY</v>
          </cell>
          <cell r="C419">
            <v>35897.120000000003</v>
          </cell>
        </row>
        <row r="420">
          <cell r="A420" t="str">
            <v>40049052</v>
          </cell>
          <cell r="B420" t="str">
            <v>OTHER MED CARE SUP-OCCP THPY</v>
          </cell>
          <cell r="C420">
            <v>694.76</v>
          </cell>
        </row>
        <row r="421">
          <cell r="A421" t="str">
            <v>40049064</v>
          </cell>
          <cell r="B421" t="str">
            <v>OTHER MED CARE SUP-PUR &amp; STORE</v>
          </cell>
          <cell r="C421">
            <v>-332.51</v>
          </cell>
        </row>
        <row r="422">
          <cell r="A422" t="str">
            <v>40049072</v>
          </cell>
          <cell r="B422" t="str">
            <v>OTHER MED SUPPLIES-RMH-MED RCD</v>
          </cell>
          <cell r="C422">
            <v>19.989999999999998</v>
          </cell>
        </row>
        <row r="423">
          <cell r="A423" t="str">
            <v>40049073</v>
          </cell>
          <cell r="B423" t="str">
            <v>OTHER MED CARE SUPP-SPFLD DAY</v>
          </cell>
          <cell r="C423">
            <v>1073.48</v>
          </cell>
        </row>
        <row r="424">
          <cell r="A424" t="str">
            <v>40049076</v>
          </cell>
          <cell r="B424" t="str">
            <v>OTHER MED CARE SPPLY-ED/HSP WD</v>
          </cell>
          <cell r="C424">
            <v>5.12</v>
          </cell>
        </row>
        <row r="425">
          <cell r="A425" t="str">
            <v>40049079</v>
          </cell>
          <cell r="B425" t="str">
            <v>OTHER MED CARE SUPPLIES</v>
          </cell>
          <cell r="C425">
            <v>0</v>
          </cell>
        </row>
        <row r="426">
          <cell r="A426" t="str">
            <v>40049084</v>
          </cell>
          <cell r="B426" t="str">
            <v>OTHER MED CARE SUPP-RMH-P.T.</v>
          </cell>
          <cell r="C426">
            <v>436.56</v>
          </cell>
        </row>
        <row r="427">
          <cell r="A427" t="str">
            <v>40052008</v>
          </cell>
          <cell r="B427" t="str">
            <v>FOOD CHARGES</v>
          </cell>
          <cell r="C427">
            <v>846.67</v>
          </cell>
        </row>
        <row r="428">
          <cell r="A428" t="str">
            <v>40052009</v>
          </cell>
          <cell r="B428" t="str">
            <v>FOOD &amp; FOOD SRV-MSU</v>
          </cell>
          <cell r="C428">
            <v>12312.44</v>
          </cell>
        </row>
        <row r="429">
          <cell r="A429" t="str">
            <v>40052013</v>
          </cell>
          <cell r="B429" t="str">
            <v>FOOD - OTHER CHILDBIRTH</v>
          </cell>
          <cell r="C429">
            <v>2068.35</v>
          </cell>
        </row>
        <row r="430">
          <cell r="A430" t="str">
            <v>40052015</v>
          </cell>
          <cell r="B430" t="str">
            <v>FOOD OTHER - ENT</v>
          </cell>
          <cell r="C430">
            <v>35</v>
          </cell>
        </row>
        <row r="431">
          <cell r="A431" t="str">
            <v>40052017</v>
          </cell>
          <cell r="B431" t="str">
            <v>FOOD-CVOSM</v>
          </cell>
          <cell r="C431">
            <v>219.08</v>
          </cell>
        </row>
        <row r="432">
          <cell r="A432" t="str">
            <v>40052019</v>
          </cell>
          <cell r="B432" t="str">
            <v>FOOD CHARGES</v>
          </cell>
          <cell r="C432">
            <v>115.2</v>
          </cell>
        </row>
        <row r="433">
          <cell r="A433" t="str">
            <v>40052020</v>
          </cell>
          <cell r="B433" t="str">
            <v>FOOD CHARGES</v>
          </cell>
          <cell r="C433">
            <v>285.7</v>
          </cell>
        </row>
        <row r="434">
          <cell r="A434" t="str">
            <v>40052021</v>
          </cell>
          <cell r="B434" t="str">
            <v>FOOD &amp; FOOD SRV-O/R</v>
          </cell>
          <cell r="C434">
            <v>1888.43</v>
          </cell>
        </row>
        <row r="435">
          <cell r="A435" t="str">
            <v>40052023</v>
          </cell>
          <cell r="B435" t="str">
            <v>FOOD &amp; FOOD SRV-EMER RM</v>
          </cell>
          <cell r="C435">
            <v>35737.839999999997</v>
          </cell>
        </row>
        <row r="436">
          <cell r="A436" t="str">
            <v>40052024</v>
          </cell>
          <cell r="B436" t="str">
            <v>FOOD &amp; FOOD SRV-ONE DAY SURG</v>
          </cell>
          <cell r="C436">
            <v>816.28</v>
          </cell>
        </row>
        <row r="437">
          <cell r="A437" t="str">
            <v>40052025</v>
          </cell>
          <cell r="B437" t="str">
            <v>FOOD CHARGES</v>
          </cell>
          <cell r="C437">
            <v>8</v>
          </cell>
        </row>
        <row r="438">
          <cell r="A438" t="str">
            <v>40052028</v>
          </cell>
          <cell r="B438" t="str">
            <v>FOOD - OTHER / ENDOSCOPY</v>
          </cell>
          <cell r="C438">
            <v>2.96</v>
          </cell>
        </row>
        <row r="439">
          <cell r="A439" t="str">
            <v>40052029</v>
          </cell>
          <cell r="B439" t="str">
            <v>FOOD - OTHER / ONCOLOGY</v>
          </cell>
          <cell r="C439">
            <v>2060.84</v>
          </cell>
        </row>
        <row r="440">
          <cell r="A440" t="str">
            <v>40052035</v>
          </cell>
          <cell r="B440" t="str">
            <v>FOOD CHARGES</v>
          </cell>
          <cell r="C440">
            <v>3599.34</v>
          </cell>
        </row>
        <row r="441">
          <cell r="A441" t="str">
            <v>40052037</v>
          </cell>
          <cell r="B441" t="str">
            <v>FOOD-SURGICAL</v>
          </cell>
          <cell r="C441">
            <v>162.22999999999999</v>
          </cell>
        </row>
        <row r="442">
          <cell r="A442" t="str">
            <v>40052044</v>
          </cell>
          <cell r="B442" t="str">
            <v>FOOD - OTHER / RADIOLOGY</v>
          </cell>
          <cell r="C442">
            <v>524.34</v>
          </cell>
        </row>
        <row r="443">
          <cell r="A443" t="str">
            <v>40052047</v>
          </cell>
          <cell r="B443" t="str">
            <v>FOOD CHARGES</v>
          </cell>
          <cell r="C443">
            <v>82.35</v>
          </cell>
        </row>
        <row r="444">
          <cell r="A444" t="str">
            <v>40052048</v>
          </cell>
          <cell r="B444" t="str">
            <v>FOOD CHARGES</v>
          </cell>
          <cell r="C444">
            <v>463.03</v>
          </cell>
        </row>
        <row r="445">
          <cell r="A445" t="str">
            <v>40052050</v>
          </cell>
          <cell r="B445" t="str">
            <v>FOOD CHARGES</v>
          </cell>
          <cell r="C445">
            <v>12</v>
          </cell>
        </row>
        <row r="446">
          <cell r="A446" t="str">
            <v>40052053</v>
          </cell>
          <cell r="B446" t="str">
            <v>FOOD INPATIENT-RMH-DIETARY</v>
          </cell>
          <cell r="C446">
            <v>85153.57</v>
          </cell>
        </row>
        <row r="447">
          <cell r="A447" t="str">
            <v>40052060</v>
          </cell>
          <cell r="B447" t="str">
            <v>FOOD CHARGES</v>
          </cell>
          <cell r="C447">
            <v>4086.3</v>
          </cell>
        </row>
        <row r="448">
          <cell r="A448" t="str">
            <v>40052061</v>
          </cell>
          <cell r="B448" t="str">
            <v>FOOD - OTHER /PERSONNEL</v>
          </cell>
          <cell r="C448">
            <v>103.83</v>
          </cell>
        </row>
        <row r="449">
          <cell r="A449" t="str">
            <v>40052062</v>
          </cell>
          <cell r="B449" t="str">
            <v>FOOD CHARGES</v>
          </cell>
          <cell r="C449">
            <v>1524.05</v>
          </cell>
        </row>
        <row r="450">
          <cell r="A450" t="str">
            <v>40052065</v>
          </cell>
          <cell r="B450" t="str">
            <v>FOOD CHARGES</v>
          </cell>
          <cell r="C450">
            <v>723.98</v>
          </cell>
        </row>
        <row r="451">
          <cell r="A451" t="str">
            <v>40052069</v>
          </cell>
          <cell r="B451" t="str">
            <v>FOOD CHARGES</v>
          </cell>
          <cell r="C451">
            <v>853.89</v>
          </cell>
        </row>
        <row r="452">
          <cell r="A452" t="str">
            <v>40052073</v>
          </cell>
          <cell r="B452" t="str">
            <v>FOOD - SPFLD ADULT DAYCARE</v>
          </cell>
          <cell r="C452">
            <v>71020.23</v>
          </cell>
        </row>
        <row r="453">
          <cell r="A453" t="str">
            <v>40052076</v>
          </cell>
          <cell r="B453" t="str">
            <v>FOOD CHARGES - EDUCATION</v>
          </cell>
          <cell r="C453">
            <v>2571.52</v>
          </cell>
        </row>
        <row r="454">
          <cell r="A454" t="str">
            <v>40052080</v>
          </cell>
          <cell r="B454" t="str">
            <v>FOOD OTHER-DIETARY SERVICES</v>
          </cell>
          <cell r="C454">
            <v>257903.59</v>
          </cell>
        </row>
        <row r="455">
          <cell r="A455" t="str">
            <v>40052091</v>
          </cell>
          <cell r="B455" t="str">
            <v>FOOD CHARGES</v>
          </cell>
          <cell r="C455">
            <v>2758.55</v>
          </cell>
        </row>
        <row r="456">
          <cell r="A456" t="str">
            <v>40052097</v>
          </cell>
          <cell r="B456" t="str">
            <v>FOOD CHARGES</v>
          </cell>
          <cell r="C456">
            <v>6111.69</v>
          </cell>
        </row>
        <row r="457">
          <cell r="A457" t="str">
            <v>40052098</v>
          </cell>
          <cell r="B457" t="str">
            <v>FOOD - MEDICAL STAFF</v>
          </cell>
          <cell r="C457">
            <v>2212.3000000000002</v>
          </cell>
        </row>
        <row r="458">
          <cell r="A458" t="str">
            <v>40054013</v>
          </cell>
          <cell r="B458" t="str">
            <v>LINEN &amp; BEDDING- CHILDBIRTH</v>
          </cell>
          <cell r="C458">
            <v>1301.67</v>
          </cell>
        </row>
        <row r="459">
          <cell r="A459" t="str">
            <v>40054021</v>
          </cell>
          <cell r="B459" t="str">
            <v>LINEN + BEDDING - OR</v>
          </cell>
          <cell r="C459">
            <v>1124.92</v>
          </cell>
        </row>
        <row r="460">
          <cell r="A460" t="str">
            <v>40054086</v>
          </cell>
          <cell r="B460" t="str">
            <v>LINEN + BEDDING-LAUNDRY/LINEN</v>
          </cell>
          <cell r="C460">
            <v>48765.74</v>
          </cell>
        </row>
        <row r="461">
          <cell r="A461" t="str">
            <v>40055085</v>
          </cell>
          <cell r="B461" t="str">
            <v>CLEANING SUPPLIES-HOUSEKEEPING</v>
          </cell>
          <cell r="C461">
            <v>3554.58</v>
          </cell>
        </row>
        <row r="462">
          <cell r="A462" t="str">
            <v>40056009</v>
          </cell>
          <cell r="B462" t="str">
            <v>OFF + ADM. SUPPLIES-MSU</v>
          </cell>
          <cell r="C462">
            <v>16643.18</v>
          </cell>
        </row>
        <row r="463">
          <cell r="A463" t="str">
            <v>40056013</v>
          </cell>
          <cell r="B463" t="str">
            <v>OFF+ ADM. SUPPLIES-CHILDBIRTH</v>
          </cell>
          <cell r="C463">
            <v>4739.38</v>
          </cell>
        </row>
        <row r="464">
          <cell r="A464" t="str">
            <v>40056015</v>
          </cell>
          <cell r="B464" t="str">
            <v>OFF &amp; ADM SUPPLIES - ENT</v>
          </cell>
          <cell r="C464">
            <v>642.84</v>
          </cell>
        </row>
        <row r="465">
          <cell r="A465" t="str">
            <v>40056017</v>
          </cell>
          <cell r="B465" t="str">
            <v>OFF &amp; ADM SUPPLIES-CVOSM</v>
          </cell>
          <cell r="C465">
            <v>4918.0600000000004</v>
          </cell>
        </row>
        <row r="466">
          <cell r="A466" t="str">
            <v>40056018</v>
          </cell>
          <cell r="B466" t="str">
            <v>OFF &amp; ADMIN SUPP-WINDHAM</v>
          </cell>
          <cell r="C466">
            <v>3616.06</v>
          </cell>
        </row>
        <row r="467">
          <cell r="A467" t="str">
            <v>40056019</v>
          </cell>
          <cell r="B467" t="str">
            <v>OFF &amp; ADM. SUPPLIES-PULM REHA</v>
          </cell>
          <cell r="C467">
            <v>504.96</v>
          </cell>
        </row>
        <row r="468">
          <cell r="A468" t="str">
            <v>40056020</v>
          </cell>
          <cell r="B468" t="str">
            <v>ADMINISTRATIVE SUPPLIES-MAMMO</v>
          </cell>
          <cell r="C468">
            <v>1370.45</v>
          </cell>
        </row>
        <row r="469">
          <cell r="A469" t="str">
            <v>40056021</v>
          </cell>
          <cell r="B469" t="str">
            <v>OFF. + ADM. SUPPLIES-SURGICAL</v>
          </cell>
          <cell r="C469">
            <v>3418.33</v>
          </cell>
        </row>
        <row r="470">
          <cell r="A470" t="str">
            <v>40056022</v>
          </cell>
          <cell r="B470" t="str">
            <v>OFF. + ADM. SUPPLIES-RECOVERY</v>
          </cell>
          <cell r="C470">
            <v>754.89</v>
          </cell>
        </row>
        <row r="471">
          <cell r="A471" t="str">
            <v>40056023</v>
          </cell>
          <cell r="B471" t="str">
            <v>OFF. + ADM. SUPPLIES-EMERG SVC</v>
          </cell>
          <cell r="C471">
            <v>11600.32</v>
          </cell>
        </row>
        <row r="472">
          <cell r="A472" t="str">
            <v>40056024</v>
          </cell>
          <cell r="B472" t="str">
            <v>OFF. + ADM. SUPPLIES-1 DAY SGY</v>
          </cell>
          <cell r="C472">
            <v>2361.5</v>
          </cell>
        </row>
        <row r="473">
          <cell r="A473" t="str">
            <v>40056027</v>
          </cell>
          <cell r="B473" t="str">
            <v>OFF.&amp; ADM SUPPLIES-CENTRAL SVC</v>
          </cell>
          <cell r="C473">
            <v>10.74</v>
          </cell>
        </row>
        <row r="474">
          <cell r="A474" t="str">
            <v>40056028</v>
          </cell>
          <cell r="B474" t="str">
            <v>OFF.&amp;ADMIN. SUPP-SPEC. PROC.</v>
          </cell>
          <cell r="C474">
            <v>1044.94</v>
          </cell>
        </row>
        <row r="475">
          <cell r="A475" t="str">
            <v>40056029</v>
          </cell>
          <cell r="B475" t="str">
            <v>OFF. &amp; ADMIN SUPP-SPEC. SERV.</v>
          </cell>
          <cell r="C475">
            <v>2006.27</v>
          </cell>
        </row>
        <row r="476">
          <cell r="A476" t="str">
            <v>40056036</v>
          </cell>
          <cell r="B476" t="str">
            <v>OFF &amp; ADM SUPPLIES - MRI</v>
          </cell>
          <cell r="C476">
            <v>7.4</v>
          </cell>
        </row>
        <row r="477">
          <cell r="A477" t="str">
            <v>40056037</v>
          </cell>
          <cell r="B477" t="str">
            <v>OFF &amp; ADM SUPP-SURGICAL</v>
          </cell>
          <cell r="C477">
            <v>1193.3900000000001</v>
          </cell>
        </row>
        <row r="478">
          <cell r="A478" t="str">
            <v>40056041</v>
          </cell>
          <cell r="B478" t="str">
            <v>OFF. &amp; ADM. SUPPLIES-LAB-CLIN</v>
          </cell>
          <cell r="C478">
            <v>6317.25</v>
          </cell>
        </row>
        <row r="479">
          <cell r="A479" t="str">
            <v>40056044</v>
          </cell>
          <cell r="B479" t="str">
            <v>OFF. + ADM. SUPPLIES-RADIOLOGY</v>
          </cell>
          <cell r="C479">
            <v>6915.1</v>
          </cell>
        </row>
        <row r="480">
          <cell r="A480" t="str">
            <v>40056045</v>
          </cell>
          <cell r="B480" t="str">
            <v>OFF. &amp; ADM. SUPPLIES- CAT SCAN</v>
          </cell>
          <cell r="C480">
            <v>170.89</v>
          </cell>
        </row>
        <row r="481">
          <cell r="A481" t="str">
            <v>40056046</v>
          </cell>
          <cell r="B481" t="str">
            <v>OFF. + ADM. SUPPLIES-NUC MED</v>
          </cell>
          <cell r="C481">
            <v>53.04</v>
          </cell>
        </row>
        <row r="482">
          <cell r="A482" t="str">
            <v>40056047</v>
          </cell>
          <cell r="B482" t="str">
            <v>OFF. + ADM. SUPPLIES-PHARMACY</v>
          </cell>
          <cell r="C482">
            <v>3757.75</v>
          </cell>
        </row>
        <row r="483">
          <cell r="A483" t="str">
            <v>40056048</v>
          </cell>
          <cell r="B483" t="str">
            <v>OFF. + ADM. SUPPLIES-ANESTH</v>
          </cell>
          <cell r="C483">
            <v>1204.3800000000001</v>
          </cell>
        </row>
        <row r="484">
          <cell r="A484" t="str">
            <v>40056049</v>
          </cell>
          <cell r="B484" t="str">
            <v>OFF. + ADM. SUPPLIES-PHY THPY</v>
          </cell>
          <cell r="C484">
            <v>337.62</v>
          </cell>
        </row>
        <row r="485">
          <cell r="A485" t="str">
            <v>40056050</v>
          </cell>
          <cell r="B485" t="str">
            <v>OFF. + ADM. SUPPLIES-RESP THPY</v>
          </cell>
          <cell r="C485">
            <v>1071.22</v>
          </cell>
        </row>
        <row r="486">
          <cell r="A486" t="str">
            <v>40056055</v>
          </cell>
          <cell r="B486" t="str">
            <v>OFF &amp; ADM SUPPLIES</v>
          </cell>
          <cell r="C486">
            <v>339.95</v>
          </cell>
        </row>
        <row r="487">
          <cell r="A487" t="str">
            <v>40056056</v>
          </cell>
          <cell r="B487" t="str">
            <v>OFF. + ADM. SUPPLIES-MED LIB</v>
          </cell>
          <cell r="C487">
            <v>36.6</v>
          </cell>
        </row>
        <row r="488">
          <cell r="A488" t="str">
            <v>40056057</v>
          </cell>
          <cell r="B488" t="str">
            <v>OFF. + ADM. SUPPLIES-MED REC</v>
          </cell>
          <cell r="C488">
            <v>5315.28</v>
          </cell>
        </row>
        <row r="489">
          <cell r="A489" t="str">
            <v>40056060</v>
          </cell>
          <cell r="B489" t="str">
            <v>OFF. + ADM. SUPPLIES-ADM &amp; GEN</v>
          </cell>
          <cell r="C489">
            <v>277.22000000000003</v>
          </cell>
        </row>
        <row r="490">
          <cell r="A490" t="str">
            <v>40056061</v>
          </cell>
          <cell r="B490" t="str">
            <v>OFF. + ADM. SUPPLIES-PERSONNEL</v>
          </cell>
          <cell r="C490">
            <v>2982.79</v>
          </cell>
        </row>
        <row r="491">
          <cell r="A491" t="str">
            <v>40056062</v>
          </cell>
          <cell r="B491" t="str">
            <v>OFF. + ADM. SUPPLIES-QUALITY A</v>
          </cell>
          <cell r="C491">
            <v>2173.39</v>
          </cell>
        </row>
        <row r="492">
          <cell r="A492" t="str">
            <v>40056063</v>
          </cell>
          <cell r="B492" t="str">
            <v>OFF. + ADM. SUPPLIES-COMMUCN</v>
          </cell>
          <cell r="C492">
            <v>129.09</v>
          </cell>
        </row>
        <row r="493">
          <cell r="A493" t="str">
            <v>40056064</v>
          </cell>
          <cell r="B493" t="str">
            <v>OFF. + ADM. SUPPLIES-PUR &amp; STO</v>
          </cell>
          <cell r="C493">
            <v>3527.16</v>
          </cell>
        </row>
        <row r="494">
          <cell r="A494" t="str">
            <v>40056065</v>
          </cell>
          <cell r="B494" t="str">
            <v>OFF. + ADM. SUPPLIES-PUB REL</v>
          </cell>
          <cell r="C494">
            <v>349</v>
          </cell>
        </row>
        <row r="495">
          <cell r="A495" t="str">
            <v>40056066</v>
          </cell>
          <cell r="B495" t="str">
            <v>OFF. + ADM. SUPPLIES-TELEPHONE</v>
          </cell>
          <cell r="C495">
            <v>0</v>
          </cell>
        </row>
        <row r="496">
          <cell r="A496" t="str">
            <v>40056067</v>
          </cell>
          <cell r="B496" t="str">
            <v>OFF. + ADM. SUPPLIES-MAILROOM</v>
          </cell>
          <cell r="C496">
            <v>-220.62</v>
          </cell>
        </row>
        <row r="497">
          <cell r="A497" t="str">
            <v>40056068</v>
          </cell>
          <cell r="B497" t="str">
            <v>OFF. + ADM. SUPPLIES-PRINTING</v>
          </cell>
          <cell r="C497">
            <v>5158.8500000000004</v>
          </cell>
        </row>
        <row r="498">
          <cell r="A498" t="str">
            <v>40056072</v>
          </cell>
          <cell r="B498" t="str">
            <v>OFF &amp; ADMIN SUPP-RMH-MED RECOR</v>
          </cell>
          <cell r="C498">
            <v>37</v>
          </cell>
        </row>
        <row r="499">
          <cell r="A499" t="str">
            <v>40056073</v>
          </cell>
          <cell r="B499" t="str">
            <v>ADMIN SUPPLIES-SPFLD DAY CARE</v>
          </cell>
          <cell r="C499">
            <v>1794.49</v>
          </cell>
        </row>
        <row r="500">
          <cell r="A500" t="str">
            <v>40056076</v>
          </cell>
          <cell r="B500" t="str">
            <v>OFF. + ADM SUPPLIES-ED/HOSP WD</v>
          </cell>
          <cell r="C500">
            <v>1199.96</v>
          </cell>
        </row>
        <row r="501">
          <cell r="A501" t="str">
            <v>40056080</v>
          </cell>
          <cell r="B501" t="str">
            <v>OFF.+ ADM. SUPPLIES-DIETARY SE</v>
          </cell>
          <cell r="C501">
            <v>1740.95</v>
          </cell>
        </row>
        <row r="502">
          <cell r="A502" t="str">
            <v>40056083</v>
          </cell>
          <cell r="B502" t="str">
            <v>OFF. + ADM. SUPPLIES-PLANT MAI</v>
          </cell>
          <cell r="C502">
            <v>3338.61</v>
          </cell>
        </row>
        <row r="503">
          <cell r="A503" t="str">
            <v>40056084</v>
          </cell>
          <cell r="B503" t="str">
            <v>OFF &amp; ADM SUPP-RMH-P.T.</v>
          </cell>
          <cell r="C503">
            <v>293</v>
          </cell>
        </row>
        <row r="504">
          <cell r="A504" t="str">
            <v>40056085</v>
          </cell>
          <cell r="B504" t="str">
            <v>OFF. + ADM. SUPPLIES-HSKP SERV</v>
          </cell>
          <cell r="C504">
            <v>50.82</v>
          </cell>
        </row>
        <row r="505">
          <cell r="A505" t="str">
            <v>40056089</v>
          </cell>
          <cell r="B505" t="str">
            <v>OFF. + ADM. SUPPLIES-OUTPT REG</v>
          </cell>
          <cell r="C505">
            <v>8851.7800000000007</v>
          </cell>
        </row>
        <row r="506">
          <cell r="A506" t="str">
            <v>40056090</v>
          </cell>
          <cell r="B506" t="str">
            <v>OFF &amp; ADMIN SUPPLIES/PFS</v>
          </cell>
          <cell r="C506">
            <v>1737.37</v>
          </cell>
        </row>
        <row r="507">
          <cell r="A507" t="str">
            <v>40056091</v>
          </cell>
          <cell r="B507" t="str">
            <v>OFF. + ADM. SUPPLIES-DATA PROC</v>
          </cell>
          <cell r="C507">
            <v>322.2</v>
          </cell>
        </row>
        <row r="508">
          <cell r="A508" t="str">
            <v>40056092</v>
          </cell>
          <cell r="B508" t="str">
            <v>OFF. + ADM. SUPPLIES-GEN ACCT</v>
          </cell>
          <cell r="C508">
            <v>6881.4</v>
          </cell>
        </row>
        <row r="509">
          <cell r="A509" t="str">
            <v>40056097</v>
          </cell>
          <cell r="B509" t="str">
            <v>OFF. + ADM. SUPPLIES-AUXILIARY</v>
          </cell>
          <cell r="C509">
            <v>315.41000000000003</v>
          </cell>
        </row>
        <row r="510">
          <cell r="A510" t="str">
            <v>40057009</v>
          </cell>
          <cell r="B510" t="str">
            <v>EMP WEARING APPAREL-MED/SURG I</v>
          </cell>
          <cell r="C510">
            <v>5874.47</v>
          </cell>
        </row>
        <row r="511">
          <cell r="A511" t="str">
            <v>40057013</v>
          </cell>
          <cell r="B511" t="str">
            <v>EMP WEARING APPAREL-CHILDBIRTH</v>
          </cell>
          <cell r="C511">
            <v>3164.44</v>
          </cell>
        </row>
        <row r="512">
          <cell r="A512" t="str">
            <v>40057017</v>
          </cell>
          <cell r="B512" t="str">
            <v>EMP WEARING APPAREL-CVOSM</v>
          </cell>
          <cell r="C512">
            <v>151.24</v>
          </cell>
        </row>
        <row r="513">
          <cell r="A513" t="str">
            <v>40057018</v>
          </cell>
          <cell r="B513" t="str">
            <v>EMP WEARING APPAREL-WINDHAM</v>
          </cell>
          <cell r="C513">
            <v>13.63</v>
          </cell>
        </row>
        <row r="514">
          <cell r="A514" t="str">
            <v>40057021</v>
          </cell>
          <cell r="B514" t="str">
            <v>EMP WEARING APPAREL - OR</v>
          </cell>
          <cell r="C514">
            <v>36156.35</v>
          </cell>
        </row>
        <row r="515">
          <cell r="A515" t="str">
            <v>40057023</v>
          </cell>
          <cell r="B515" t="str">
            <v>EMP WEARING APPAREL-EMERG. SVC</v>
          </cell>
          <cell r="C515">
            <v>1457.87</v>
          </cell>
        </row>
        <row r="516">
          <cell r="A516" t="str">
            <v>40057024</v>
          </cell>
          <cell r="B516" t="str">
            <v>EMP WEARING APPAREL-1DAY SURGY</v>
          </cell>
          <cell r="C516">
            <v>148.69999999999999</v>
          </cell>
        </row>
        <row r="517">
          <cell r="A517" t="str">
            <v>40057028</v>
          </cell>
          <cell r="B517" t="str">
            <v>EMP.WEARING APPAR-SPEC.PROC.</v>
          </cell>
          <cell r="C517">
            <v>707.46</v>
          </cell>
        </row>
        <row r="518">
          <cell r="A518" t="str">
            <v>40057029</v>
          </cell>
          <cell r="B518" t="str">
            <v>EMP WEARING APP-SPEC.SERVICES</v>
          </cell>
          <cell r="C518">
            <v>208.3</v>
          </cell>
        </row>
        <row r="519">
          <cell r="A519" t="str">
            <v>40057036</v>
          </cell>
          <cell r="B519" t="str">
            <v>EMP. WEARING APPAREL/MRI</v>
          </cell>
          <cell r="C519">
            <v>121.48</v>
          </cell>
        </row>
        <row r="520">
          <cell r="A520" t="str">
            <v>40057037</v>
          </cell>
          <cell r="B520" t="str">
            <v>EMP WEARING APP-SURGICAL</v>
          </cell>
          <cell r="C520">
            <v>308</v>
          </cell>
        </row>
        <row r="521">
          <cell r="A521" t="str">
            <v>40057041</v>
          </cell>
          <cell r="B521" t="str">
            <v>EMP WEARING APPAREL-LAB-CLIN</v>
          </cell>
          <cell r="C521">
            <v>4846.8599999999997</v>
          </cell>
        </row>
        <row r="522">
          <cell r="A522" t="str">
            <v>40057044</v>
          </cell>
          <cell r="B522" t="str">
            <v>EMP WEARING APPAREL-RADIOLOGY</v>
          </cell>
          <cell r="C522">
            <v>73.53</v>
          </cell>
        </row>
        <row r="523">
          <cell r="A523" t="str">
            <v>40057045</v>
          </cell>
          <cell r="B523" t="str">
            <v>EMP WEARING APPAREL-CAT SCAN</v>
          </cell>
          <cell r="C523">
            <v>22.71</v>
          </cell>
        </row>
        <row r="524">
          <cell r="A524" t="str">
            <v>40057047</v>
          </cell>
          <cell r="B524" t="str">
            <v>EMP WEARING APPAREL-PHARMACY</v>
          </cell>
          <cell r="C524">
            <v>1696.15</v>
          </cell>
        </row>
        <row r="525">
          <cell r="A525" t="str">
            <v>40057048</v>
          </cell>
          <cell r="B525" t="str">
            <v>EMP WEARING APPAREL-ANESTH</v>
          </cell>
          <cell r="C525">
            <v>54.18</v>
          </cell>
        </row>
        <row r="526">
          <cell r="A526" t="str">
            <v>40057049</v>
          </cell>
          <cell r="B526" t="str">
            <v>EMP WEARING APPAREL-PHY THPY</v>
          </cell>
          <cell r="C526">
            <v>56.95</v>
          </cell>
        </row>
        <row r="527">
          <cell r="A527" t="str">
            <v>40057050</v>
          </cell>
          <cell r="B527" t="str">
            <v>EMP WEARING APPAREL-RESP THPY</v>
          </cell>
          <cell r="C527">
            <v>9.61</v>
          </cell>
        </row>
        <row r="528">
          <cell r="A528" t="str">
            <v>40057064</v>
          </cell>
          <cell r="B528" t="str">
            <v>EMP WEARING APPAREL-PUR &amp; STOR</v>
          </cell>
          <cell r="C528">
            <v>574</v>
          </cell>
        </row>
        <row r="529">
          <cell r="A529" t="str">
            <v>40057080</v>
          </cell>
          <cell r="B529" t="str">
            <v>EMP WEARING APPAREL-DIETARY SE</v>
          </cell>
          <cell r="C529">
            <v>1761.07</v>
          </cell>
        </row>
        <row r="530">
          <cell r="A530" t="str">
            <v>40057083</v>
          </cell>
          <cell r="B530" t="str">
            <v>EMP WEARING APPAREL-PLANT MAIN</v>
          </cell>
          <cell r="C530">
            <v>1822.91</v>
          </cell>
        </row>
        <row r="531">
          <cell r="A531" t="str">
            <v>40057085</v>
          </cell>
          <cell r="B531" t="str">
            <v>EMP WEARING APPAREL-HSKP SERV</v>
          </cell>
          <cell r="C531">
            <v>1505.36</v>
          </cell>
        </row>
        <row r="532">
          <cell r="A532" t="str">
            <v>40058002</v>
          </cell>
          <cell r="B532" t="str">
            <v>INSTRMT &amp; SM EQP-RMG</v>
          </cell>
          <cell r="C532">
            <v>0</v>
          </cell>
        </row>
        <row r="533">
          <cell r="A533" t="str">
            <v>40058009</v>
          </cell>
          <cell r="B533" t="str">
            <v>INSTR + MINOR EQUIP-MSU</v>
          </cell>
          <cell r="C533">
            <v>8257.19</v>
          </cell>
        </row>
        <row r="534">
          <cell r="A534" t="str">
            <v>40058013</v>
          </cell>
          <cell r="B534" t="str">
            <v>INSTR + MINOR EQUIP-CHILDBIRTH</v>
          </cell>
          <cell r="C534">
            <v>6369.96</v>
          </cell>
        </row>
        <row r="535">
          <cell r="A535" t="str">
            <v>40058017</v>
          </cell>
          <cell r="B535" t="str">
            <v>INSTR &amp; MINOR EQUIP-CVOSM</v>
          </cell>
          <cell r="C535">
            <v>4855.75</v>
          </cell>
        </row>
        <row r="536">
          <cell r="A536" t="str">
            <v>40058018</v>
          </cell>
          <cell r="B536" t="str">
            <v>INSTR &amp; MINOR EQUIP-WINDHAM</v>
          </cell>
          <cell r="C536">
            <v>1034.24</v>
          </cell>
        </row>
        <row r="537">
          <cell r="A537" t="str">
            <v>40058019</v>
          </cell>
          <cell r="B537" t="str">
            <v>INSTR + MINOR EQUIP-PULM REHA</v>
          </cell>
          <cell r="C537">
            <v>464.8</v>
          </cell>
        </row>
        <row r="538">
          <cell r="A538" t="str">
            <v>40058021</v>
          </cell>
          <cell r="B538" t="str">
            <v>INSTR. + MINOR EQUIP - OR</v>
          </cell>
          <cell r="C538">
            <v>48852.51</v>
          </cell>
        </row>
        <row r="539">
          <cell r="A539" t="str">
            <v>40058022</v>
          </cell>
          <cell r="B539" t="str">
            <v>INSTR. &amp; MINOR EQUIP-RECOVERY</v>
          </cell>
          <cell r="C539">
            <v>1267.03</v>
          </cell>
        </row>
        <row r="540">
          <cell r="A540" t="str">
            <v>40058023</v>
          </cell>
          <cell r="B540" t="str">
            <v>INSTR. + MINOR EQUIP-EMERG.SVC</v>
          </cell>
          <cell r="C540">
            <v>11247.62</v>
          </cell>
        </row>
        <row r="541">
          <cell r="A541" t="str">
            <v>40058024</v>
          </cell>
          <cell r="B541" t="str">
            <v>INSTR. + MINOR EQUIP-1DAY SURG</v>
          </cell>
          <cell r="C541">
            <v>3578.95</v>
          </cell>
        </row>
        <row r="542">
          <cell r="A542" t="str">
            <v>40058028</v>
          </cell>
          <cell r="B542" t="str">
            <v>INSTR.&amp;MINOR EQUIP-SPEC.PROC.</v>
          </cell>
          <cell r="C542">
            <v>1480.29</v>
          </cell>
        </row>
        <row r="543">
          <cell r="A543" t="str">
            <v>40058036</v>
          </cell>
          <cell r="B543" t="str">
            <v>INSTR. &amp; MINOR EQUIP - MRI</v>
          </cell>
          <cell r="C543">
            <v>91.68</v>
          </cell>
        </row>
        <row r="544">
          <cell r="A544" t="str">
            <v>40058037</v>
          </cell>
          <cell r="B544" t="str">
            <v>INSTR &amp; MINOR EQUIP-SURGICAL</v>
          </cell>
          <cell r="C544">
            <v>5090.3999999999996</v>
          </cell>
        </row>
        <row r="545">
          <cell r="A545" t="str">
            <v>40058040</v>
          </cell>
          <cell r="B545" t="str">
            <v>INSTRMNT &amp; MINOR EQP-ULTRASOUN</v>
          </cell>
          <cell r="C545">
            <v>3456.47</v>
          </cell>
        </row>
        <row r="546">
          <cell r="A546" t="str">
            <v>40058044</v>
          </cell>
          <cell r="B546" t="str">
            <v>INSTR. + MINOR EQUIP-RADIOLOGY</v>
          </cell>
          <cell r="C546">
            <v>1442.26</v>
          </cell>
        </row>
        <row r="547">
          <cell r="A547" t="str">
            <v>40058045</v>
          </cell>
          <cell r="B547" t="str">
            <v>INSTR. + MINOR EQUIP-CAT SCAN</v>
          </cell>
          <cell r="C547">
            <v>663.26</v>
          </cell>
        </row>
        <row r="548">
          <cell r="A548" t="str">
            <v>40058047</v>
          </cell>
          <cell r="B548" t="str">
            <v>INSTR. + MINOR EQUIP-PHARMACY</v>
          </cell>
          <cell r="C548">
            <v>22.92</v>
          </cell>
        </row>
        <row r="549">
          <cell r="A549" t="str">
            <v>40058048</v>
          </cell>
          <cell r="B549" t="str">
            <v>INSTR. + MINOR EQUIP-ANESTH</v>
          </cell>
          <cell r="C549">
            <v>2447.17</v>
          </cell>
        </row>
        <row r="550">
          <cell r="A550" t="str">
            <v>40058049</v>
          </cell>
          <cell r="B550" t="str">
            <v>INSTR. + MINOR EQUIP-PHY THPY</v>
          </cell>
          <cell r="C550">
            <v>79.680000000000007</v>
          </cell>
        </row>
        <row r="551">
          <cell r="A551" t="str">
            <v>40058050</v>
          </cell>
          <cell r="B551" t="str">
            <v>INSTR. + MINOR EQUIP-RESP THPY</v>
          </cell>
          <cell r="C551">
            <v>1718.55</v>
          </cell>
        </row>
        <row r="552">
          <cell r="A552" t="str">
            <v>40058062</v>
          </cell>
          <cell r="B552" t="str">
            <v>INSTR+MINOR EQUIP-QUALITY ASSU</v>
          </cell>
          <cell r="C552">
            <v>535.28</v>
          </cell>
        </row>
        <row r="553">
          <cell r="A553" t="str">
            <v>40058073</v>
          </cell>
          <cell r="B553" t="str">
            <v>MINOR EQUIP-SPFLD DAY CARE</v>
          </cell>
          <cell r="C553">
            <v>2123.8000000000002</v>
          </cell>
        </row>
        <row r="554">
          <cell r="A554" t="str">
            <v>40058076</v>
          </cell>
          <cell r="B554" t="str">
            <v>INSTR. + MINOR EQUIP-ED/HOSP W</v>
          </cell>
          <cell r="C554">
            <v>760</v>
          </cell>
        </row>
        <row r="555">
          <cell r="A555" t="str">
            <v>40058079</v>
          </cell>
          <cell r="B555" t="str">
            <v>INST &amp; MINOR EQUIP</v>
          </cell>
          <cell r="C555">
            <v>0</v>
          </cell>
        </row>
        <row r="556">
          <cell r="A556" t="str">
            <v>40058080</v>
          </cell>
          <cell r="B556" t="str">
            <v>INSTR. + MINOR EQUIP-DIETARY</v>
          </cell>
          <cell r="C556">
            <v>4215.8</v>
          </cell>
        </row>
        <row r="557">
          <cell r="A557" t="str">
            <v>40058083</v>
          </cell>
          <cell r="B557" t="str">
            <v>INSTR. + MINOR EQUIP-PLANT MAI</v>
          </cell>
          <cell r="C557">
            <v>5480.02</v>
          </cell>
        </row>
        <row r="558">
          <cell r="A558" t="str">
            <v>40058085</v>
          </cell>
          <cell r="B558" t="str">
            <v>INSTR. + MINOR EQUIP-HSKP SERV</v>
          </cell>
          <cell r="C558">
            <v>1558.28</v>
          </cell>
        </row>
        <row r="559">
          <cell r="A559" t="str">
            <v>40058089</v>
          </cell>
          <cell r="B559" t="str">
            <v>INSTR. + MINOR EQUIP-OUTPT REG</v>
          </cell>
          <cell r="C559">
            <v>511.07</v>
          </cell>
        </row>
        <row r="560">
          <cell r="A560" t="str">
            <v>40058091</v>
          </cell>
          <cell r="B560" t="str">
            <v>INSTR. + MINOR EQUIP-DATA PROC</v>
          </cell>
          <cell r="C560">
            <v>143885.4</v>
          </cell>
        </row>
        <row r="561">
          <cell r="A561" t="str">
            <v>40058092</v>
          </cell>
          <cell r="B561" t="str">
            <v>INSTR. + MINOR EQUIP-GEN ACCT</v>
          </cell>
          <cell r="C561">
            <v>1194.42</v>
          </cell>
        </row>
        <row r="562">
          <cell r="A562" t="str">
            <v>40059001</v>
          </cell>
          <cell r="B562" t="str">
            <v>OTHER NON-MED SUPPLIES-CHESTER</v>
          </cell>
          <cell r="C562">
            <v>0</v>
          </cell>
        </row>
        <row r="563">
          <cell r="A563" t="str">
            <v>40059002</v>
          </cell>
          <cell r="B563" t="str">
            <v>NON-MED SUPPLIES-GRT FALLS FAM</v>
          </cell>
          <cell r="C563">
            <v>0</v>
          </cell>
        </row>
        <row r="564">
          <cell r="A564" t="str">
            <v>40059004</v>
          </cell>
          <cell r="B564" t="str">
            <v>OTHER NON-MED SUPPL-LUDLOW</v>
          </cell>
          <cell r="C564">
            <v>0</v>
          </cell>
        </row>
        <row r="565">
          <cell r="A565" t="str">
            <v>40059009</v>
          </cell>
          <cell r="B565" t="str">
            <v>OTHER NON-MED SURG-MED/SURG I</v>
          </cell>
          <cell r="C565">
            <v>51051.17</v>
          </cell>
        </row>
        <row r="566">
          <cell r="A566" t="str">
            <v>40059013</v>
          </cell>
          <cell r="B566" t="str">
            <v>OTHER NON-MED SUP-CHILDBIRTH</v>
          </cell>
          <cell r="C566">
            <v>19036.810000000001</v>
          </cell>
        </row>
        <row r="567">
          <cell r="A567" t="str">
            <v>40059015</v>
          </cell>
          <cell r="B567" t="str">
            <v>OTHER NON-MED SUP - ENT</v>
          </cell>
          <cell r="C567">
            <v>49345.33</v>
          </cell>
        </row>
        <row r="568">
          <cell r="A568" t="str">
            <v>40059017</v>
          </cell>
          <cell r="B568" t="str">
            <v>OTHER NON-MED SUPP-CVOSM</v>
          </cell>
          <cell r="C568">
            <v>64782.02</v>
          </cell>
        </row>
        <row r="569">
          <cell r="A569" t="str">
            <v>40059018</v>
          </cell>
          <cell r="B569" t="str">
            <v>OTHER NON-MED SUPP-WINDHAM</v>
          </cell>
          <cell r="C569">
            <v>24090.61</v>
          </cell>
        </row>
        <row r="570">
          <cell r="A570" t="str">
            <v>40059019</v>
          </cell>
          <cell r="B570" t="str">
            <v>OTHER NON-MED SUP-PULM REHAB</v>
          </cell>
          <cell r="C570">
            <v>219.47</v>
          </cell>
        </row>
        <row r="571">
          <cell r="A571" t="str">
            <v>40059020</v>
          </cell>
          <cell r="B571" t="str">
            <v>OTHER NON-MED &amp; SURG. - MAMMO</v>
          </cell>
          <cell r="C571">
            <v>3306.96</v>
          </cell>
        </row>
        <row r="572">
          <cell r="A572" t="str">
            <v>40059021</v>
          </cell>
          <cell r="B572" t="str">
            <v>OTHER NON-MED SURG - OR</v>
          </cell>
          <cell r="C572">
            <v>154842.79</v>
          </cell>
        </row>
        <row r="573">
          <cell r="A573" t="str">
            <v>40059022</v>
          </cell>
          <cell r="B573" t="str">
            <v>OTHER NON-MED SURG-RECOVERY</v>
          </cell>
          <cell r="C573">
            <v>822.83</v>
          </cell>
        </row>
        <row r="574">
          <cell r="A574" t="str">
            <v>40059023</v>
          </cell>
          <cell r="B574" t="str">
            <v>OTHER NON-MED SURG-EMERG. SVCS</v>
          </cell>
          <cell r="C574">
            <v>53441.16</v>
          </cell>
        </row>
        <row r="575">
          <cell r="A575" t="str">
            <v>40059024</v>
          </cell>
          <cell r="B575" t="str">
            <v>OTHER NON-MED SURG-1 DAY SURGY</v>
          </cell>
          <cell r="C575">
            <v>3934.16</v>
          </cell>
        </row>
        <row r="576">
          <cell r="A576" t="str">
            <v>40059028</v>
          </cell>
          <cell r="B576" t="str">
            <v>OTHER NONMED SURG-SPEC. PROC.</v>
          </cell>
          <cell r="C576">
            <v>31933.54</v>
          </cell>
        </row>
        <row r="577">
          <cell r="A577" t="str">
            <v>40059029</v>
          </cell>
          <cell r="B577" t="str">
            <v>OTHER NONMED SURG-SPEC SERVICE</v>
          </cell>
          <cell r="C577">
            <v>1128.33</v>
          </cell>
        </row>
        <row r="578">
          <cell r="A578" t="str">
            <v>40059036</v>
          </cell>
          <cell r="B578" t="str">
            <v>OTHER NON-MED SURG  MRI</v>
          </cell>
          <cell r="C578">
            <v>1010.43</v>
          </cell>
        </row>
        <row r="579">
          <cell r="A579" t="str">
            <v>40059037</v>
          </cell>
          <cell r="B579" t="str">
            <v>OTHER NON-MED SUP-SURGICAL</v>
          </cell>
          <cell r="C579">
            <v>4671.8999999999996</v>
          </cell>
        </row>
        <row r="580">
          <cell r="A580" t="str">
            <v>40059040</v>
          </cell>
          <cell r="B580" t="str">
            <v>OTHER NON-MED SUPP-ULTRASOUND</v>
          </cell>
          <cell r="C580">
            <v>4711.6099999999997</v>
          </cell>
        </row>
        <row r="581">
          <cell r="A581" t="str">
            <v>40059041</v>
          </cell>
          <cell r="B581" t="str">
            <v>OTHER NON-MED SURG-LAB CLIN</v>
          </cell>
          <cell r="C581">
            <v>860064.83</v>
          </cell>
        </row>
        <row r="582">
          <cell r="A582" t="str">
            <v>40059042</v>
          </cell>
          <cell r="B582" t="str">
            <v>OTHER NON-MED SURG-BLOOD BANK</v>
          </cell>
          <cell r="C582">
            <v>5031.76</v>
          </cell>
        </row>
        <row r="583">
          <cell r="A583" t="str">
            <v>40059044</v>
          </cell>
          <cell r="B583" t="str">
            <v>OTHER NON-MED SURG-RADIOLOGY</v>
          </cell>
          <cell r="C583">
            <v>13479.84</v>
          </cell>
        </row>
        <row r="584">
          <cell r="A584" t="str">
            <v>40059045</v>
          </cell>
          <cell r="B584" t="str">
            <v>OTHER NON-MED SURG-CAT SCAN</v>
          </cell>
          <cell r="C584">
            <v>2674.48</v>
          </cell>
        </row>
        <row r="585">
          <cell r="A585" t="str">
            <v>40059046</v>
          </cell>
          <cell r="B585" t="str">
            <v>OTHER NON-MED SURG-NUCLEAR MED</v>
          </cell>
          <cell r="C585">
            <v>2942.94</v>
          </cell>
        </row>
        <row r="586">
          <cell r="A586" t="str">
            <v>40059047</v>
          </cell>
          <cell r="B586" t="str">
            <v>OTHER NON-MED SURG-PHARMACY</v>
          </cell>
          <cell r="C586">
            <v>8356.92</v>
          </cell>
        </row>
        <row r="587">
          <cell r="A587" t="str">
            <v>40059048</v>
          </cell>
          <cell r="B587" t="str">
            <v>OTHER NON-MED SURG-ANESTH</v>
          </cell>
          <cell r="C587">
            <v>7983.58</v>
          </cell>
        </row>
        <row r="588">
          <cell r="A588" t="str">
            <v>40059049</v>
          </cell>
          <cell r="B588" t="str">
            <v>OTHER NON-MED SURG-PHY THPY</v>
          </cell>
          <cell r="C588">
            <v>2139.8000000000002</v>
          </cell>
        </row>
        <row r="589">
          <cell r="A589" t="str">
            <v>40059050</v>
          </cell>
          <cell r="B589" t="str">
            <v>OTHER NON-MED SURG-RESP THPY</v>
          </cell>
          <cell r="C589">
            <v>15018.17</v>
          </cell>
        </row>
        <row r="590">
          <cell r="A590" t="str">
            <v>40059052</v>
          </cell>
          <cell r="B590" t="str">
            <v>OTHER NON-MED SURG--OCCP THPY</v>
          </cell>
          <cell r="C590">
            <v>186.9</v>
          </cell>
        </row>
        <row r="591">
          <cell r="A591" t="str">
            <v>40059056</v>
          </cell>
          <cell r="B591" t="str">
            <v>OTHER NON-MED SURG-MED LIBRARY</v>
          </cell>
          <cell r="C591">
            <v>4</v>
          </cell>
        </row>
        <row r="592">
          <cell r="A592" t="str">
            <v>40059057</v>
          </cell>
          <cell r="B592" t="str">
            <v>OTHER NON-MED SURG-MED RECORDS</v>
          </cell>
          <cell r="C592">
            <v>21.89</v>
          </cell>
        </row>
        <row r="593">
          <cell r="A593" t="str">
            <v>40059059</v>
          </cell>
          <cell r="B593" t="str">
            <v>OTHER NONMED SURG</v>
          </cell>
          <cell r="C593">
            <v>204.57</v>
          </cell>
        </row>
        <row r="594">
          <cell r="A594" t="str">
            <v>40059060</v>
          </cell>
          <cell r="B594" t="str">
            <v>OTHER NON-MED SURG-ADM AND GEN</v>
          </cell>
          <cell r="C594">
            <v>106.49</v>
          </cell>
        </row>
        <row r="595">
          <cell r="A595" t="str">
            <v>40059061</v>
          </cell>
          <cell r="B595" t="str">
            <v>OTHER NON-MED SURG-PERSONNEL</v>
          </cell>
          <cell r="C595">
            <v>1463.76</v>
          </cell>
        </row>
        <row r="596">
          <cell r="A596" t="str">
            <v>40059062</v>
          </cell>
          <cell r="B596" t="str">
            <v>OTHER NON-MED -QUALITY ASSUR.</v>
          </cell>
          <cell r="C596">
            <v>526.1</v>
          </cell>
        </row>
        <row r="597">
          <cell r="A597" t="str">
            <v>40059063</v>
          </cell>
          <cell r="B597" t="str">
            <v>OTHER NON-MED SURG-COMMUCN</v>
          </cell>
          <cell r="C597">
            <v>161.94999999999999</v>
          </cell>
        </row>
        <row r="598">
          <cell r="A598" t="str">
            <v>40059064</v>
          </cell>
          <cell r="B598" t="str">
            <v>OTHER NON-MED SURG-PUR &amp; STORE</v>
          </cell>
          <cell r="C598">
            <v>220.6</v>
          </cell>
        </row>
        <row r="599">
          <cell r="A599" t="str">
            <v>40059065</v>
          </cell>
          <cell r="B599" t="str">
            <v>OTHER NON-MED SURG-PUB REL</v>
          </cell>
          <cell r="C599">
            <v>2066.48</v>
          </cell>
        </row>
        <row r="600">
          <cell r="A600" t="str">
            <v>40059073</v>
          </cell>
          <cell r="B600" t="str">
            <v>OTHER NONMED/SURG.-SPFLD DAYCA</v>
          </cell>
          <cell r="C600">
            <v>6428.56</v>
          </cell>
        </row>
        <row r="601">
          <cell r="A601" t="str">
            <v>40059076</v>
          </cell>
          <cell r="B601" t="str">
            <v>OTHER NON-MED SURG-ED/HOSP WID</v>
          </cell>
          <cell r="C601">
            <v>2635.89</v>
          </cell>
        </row>
        <row r="602">
          <cell r="A602" t="str">
            <v>40059079</v>
          </cell>
          <cell r="B602" t="str">
            <v>OTHER NON-MED SUPPLIES</v>
          </cell>
          <cell r="C602">
            <v>0</v>
          </cell>
        </row>
        <row r="603">
          <cell r="A603" t="str">
            <v>40059080</v>
          </cell>
          <cell r="B603" t="str">
            <v>OTHER NON-MED SURG-DIETARY SER</v>
          </cell>
          <cell r="C603">
            <v>11387.12</v>
          </cell>
        </row>
        <row r="604">
          <cell r="A604" t="str">
            <v>40059083</v>
          </cell>
          <cell r="B604" t="str">
            <v>OTHER NON-MED SURG-PLANT MAINT</v>
          </cell>
          <cell r="C604">
            <v>46199.8</v>
          </cell>
        </row>
        <row r="605">
          <cell r="A605" t="str">
            <v>40059084</v>
          </cell>
          <cell r="B605" t="str">
            <v>OTHER NON-MED SUPP-RMH-P.T.</v>
          </cell>
          <cell r="C605">
            <v>286.60000000000002</v>
          </cell>
        </row>
        <row r="606">
          <cell r="A606" t="str">
            <v>40059085</v>
          </cell>
          <cell r="B606" t="str">
            <v>OTHER NON-MED SURG-HSKP SERVIC</v>
          </cell>
          <cell r="C606">
            <v>52493.94</v>
          </cell>
        </row>
        <row r="607">
          <cell r="A607" t="str">
            <v>40059086</v>
          </cell>
          <cell r="B607" t="str">
            <v>OTHER NON-MED SURG-LAUND/LINEN</v>
          </cell>
          <cell r="C607">
            <v>235</v>
          </cell>
        </row>
        <row r="608">
          <cell r="A608" t="str">
            <v>40059089</v>
          </cell>
          <cell r="B608" t="str">
            <v>OTHER NON-MED SURG-OUTPT REG</v>
          </cell>
          <cell r="C608">
            <v>9837.15</v>
          </cell>
        </row>
        <row r="609">
          <cell r="A609" t="str">
            <v>40059090</v>
          </cell>
          <cell r="B609" t="str">
            <v>OTHER NON-MED SURG-PATIENT ACC</v>
          </cell>
          <cell r="C609">
            <v>92.88</v>
          </cell>
        </row>
        <row r="610">
          <cell r="A610" t="str">
            <v>40059091</v>
          </cell>
          <cell r="B610" t="str">
            <v>OTHER NON-MED SURG-DATA PROCES</v>
          </cell>
          <cell r="C610">
            <v>426.35</v>
          </cell>
        </row>
        <row r="611">
          <cell r="A611" t="str">
            <v>40059092</v>
          </cell>
          <cell r="B611" t="str">
            <v>OTHER NON-MED SURG-GEN ACCT</v>
          </cell>
          <cell r="C611">
            <v>-11.11</v>
          </cell>
        </row>
        <row r="612">
          <cell r="A612" t="str">
            <v>40059097</v>
          </cell>
          <cell r="B612" t="str">
            <v>OTHER NON-MED SURG-AUXILIARY</v>
          </cell>
          <cell r="C612">
            <v>422.6</v>
          </cell>
        </row>
        <row r="613">
          <cell r="A613" t="str">
            <v>40061015</v>
          </cell>
          <cell r="B613" t="str">
            <v>ELECTRICITY - ENT</v>
          </cell>
          <cell r="C613">
            <v>4674.8599999999997</v>
          </cell>
        </row>
        <row r="614">
          <cell r="A614" t="str">
            <v>40061017</v>
          </cell>
          <cell r="B614" t="str">
            <v>ELECTRICITY-CVOSM</v>
          </cell>
          <cell r="C614">
            <v>16995.11</v>
          </cell>
        </row>
        <row r="615">
          <cell r="A615" t="str">
            <v>40061037</v>
          </cell>
          <cell r="B615" t="str">
            <v>ELECTRICTY-GEN SURGERY</v>
          </cell>
          <cell r="C615">
            <v>4782.91</v>
          </cell>
        </row>
        <row r="616">
          <cell r="A616" t="str">
            <v>40061041</v>
          </cell>
          <cell r="B616" t="str">
            <v>ELECTRICITY-LAB</v>
          </cell>
          <cell r="C616">
            <v>1283.93</v>
          </cell>
        </row>
        <row r="617">
          <cell r="A617" t="str">
            <v>40061049</v>
          </cell>
          <cell r="B617" t="str">
            <v>ELECTRICITY-PT</v>
          </cell>
          <cell r="C617">
            <v>11049.17</v>
          </cell>
        </row>
        <row r="618">
          <cell r="A618" t="str">
            <v>40061073</v>
          </cell>
          <cell r="B618" t="str">
            <v>ELECTRICITY-SPFLD ADULT DAY</v>
          </cell>
          <cell r="C618">
            <v>10802.48</v>
          </cell>
        </row>
        <row r="619">
          <cell r="A619" t="str">
            <v>40061075</v>
          </cell>
          <cell r="B619" t="str">
            <v>ELECTRICITY-BELLOWS FALLS</v>
          </cell>
          <cell r="C619">
            <v>27749.68</v>
          </cell>
        </row>
        <row r="620">
          <cell r="A620" t="str">
            <v>40061083</v>
          </cell>
          <cell r="B620" t="str">
            <v>ELECTRICITY-PLANT MAINTENANCE</v>
          </cell>
          <cell r="C620">
            <v>422373.28</v>
          </cell>
        </row>
        <row r="621">
          <cell r="A621" t="str">
            <v>40061090</v>
          </cell>
          <cell r="B621" t="str">
            <v>ELECTRICITY</v>
          </cell>
          <cell r="C621">
            <v>3453.74</v>
          </cell>
        </row>
        <row r="622">
          <cell r="A622" t="str">
            <v>40062018</v>
          </cell>
          <cell r="B622" t="str">
            <v>FUEL/WINDHAM CTR</v>
          </cell>
          <cell r="C622">
            <v>1414.68</v>
          </cell>
        </row>
        <row r="623">
          <cell r="A623" t="str">
            <v>40062041</v>
          </cell>
          <cell r="B623" t="str">
            <v>FUEL-LAB</v>
          </cell>
          <cell r="C623">
            <v>421.26</v>
          </cell>
        </row>
        <row r="624">
          <cell r="A624" t="str">
            <v>40062045</v>
          </cell>
          <cell r="B624" t="str">
            <v>FUEL-CAT SCAN</v>
          </cell>
          <cell r="C624">
            <v>80.010000000000005</v>
          </cell>
        </row>
        <row r="625">
          <cell r="A625" t="str">
            <v>40062049</v>
          </cell>
          <cell r="B625" t="str">
            <v>FUEL-PT</v>
          </cell>
          <cell r="C625">
            <v>3422.59</v>
          </cell>
        </row>
        <row r="626">
          <cell r="A626" t="str">
            <v>40062073</v>
          </cell>
          <cell r="B626" t="str">
            <v>FUEL-SPFLD ADULT DAYCARE</v>
          </cell>
          <cell r="C626">
            <v>10883.65</v>
          </cell>
        </row>
        <row r="627">
          <cell r="A627" t="str">
            <v>40062075</v>
          </cell>
          <cell r="B627" t="str">
            <v>FUEL BELLOWS FALLS LOCATION</v>
          </cell>
          <cell r="C627">
            <v>56000</v>
          </cell>
        </row>
        <row r="628">
          <cell r="A628" t="str">
            <v>40062083</v>
          </cell>
          <cell r="B628" t="str">
            <v>FUEL-PLANT MAINTENANCE</v>
          </cell>
          <cell r="C628">
            <v>301594.12</v>
          </cell>
        </row>
        <row r="629">
          <cell r="A629" t="str">
            <v>40062090</v>
          </cell>
          <cell r="B629" t="str">
            <v>FUEL-PFS</v>
          </cell>
          <cell r="C629">
            <v>1080.6600000000001</v>
          </cell>
        </row>
        <row r="630">
          <cell r="A630" t="str">
            <v>40063075</v>
          </cell>
          <cell r="B630" t="str">
            <v>SEWER/WATER BELLOWS FALLS</v>
          </cell>
          <cell r="C630">
            <v>7000</v>
          </cell>
        </row>
        <row r="631">
          <cell r="A631" t="str">
            <v>40063083</v>
          </cell>
          <cell r="B631" t="str">
            <v>WATER-PLANT MAINTENANCE</v>
          </cell>
          <cell r="C631">
            <v>86745.09</v>
          </cell>
        </row>
        <row r="632">
          <cell r="A632" t="str">
            <v>40064015</v>
          </cell>
          <cell r="B632" t="str">
            <v>DISPOSAL SERVICE-ENT</v>
          </cell>
          <cell r="C632">
            <v>978.18</v>
          </cell>
        </row>
        <row r="633">
          <cell r="A633" t="str">
            <v>40064017</v>
          </cell>
          <cell r="B633" t="str">
            <v>DISPOSAL SERVICE-CVOSM</v>
          </cell>
          <cell r="C633">
            <v>2319</v>
          </cell>
        </row>
        <row r="634">
          <cell r="A634" t="str">
            <v>40064037</v>
          </cell>
          <cell r="B634" t="str">
            <v>DISPOSAL SERV/GEN SURG</v>
          </cell>
          <cell r="C634">
            <v>820</v>
          </cell>
        </row>
        <row r="635">
          <cell r="A635" t="str">
            <v>40064041</v>
          </cell>
          <cell r="B635" t="str">
            <v>DISPOSAL SERV-LAB</v>
          </cell>
          <cell r="C635">
            <v>1509.91</v>
          </cell>
        </row>
        <row r="636">
          <cell r="A636" t="str">
            <v>40064073</v>
          </cell>
          <cell r="B636" t="str">
            <v>DISPOSAL SERV-ADS</v>
          </cell>
          <cell r="C636">
            <v>2946</v>
          </cell>
        </row>
        <row r="637">
          <cell r="A637" t="str">
            <v>40064083</v>
          </cell>
          <cell r="B637" t="str">
            <v>DISPOSAL SERVICE-PLANT MAIN.</v>
          </cell>
          <cell r="C637">
            <v>84559.03</v>
          </cell>
        </row>
        <row r="638">
          <cell r="A638" t="str">
            <v>40065015</v>
          </cell>
          <cell r="B638" t="str">
            <v>TELEPHONE - ENT</v>
          </cell>
          <cell r="C638">
            <v>2257.34</v>
          </cell>
        </row>
        <row r="639">
          <cell r="A639" t="str">
            <v>40065017</v>
          </cell>
          <cell r="B639" t="str">
            <v>TELEPHONE-CVOSM</v>
          </cell>
          <cell r="C639">
            <v>8305.44</v>
          </cell>
        </row>
        <row r="640">
          <cell r="A640" t="str">
            <v>40065018</v>
          </cell>
          <cell r="B640" t="str">
            <v>TELEPHONE - PSYCH UNIT</v>
          </cell>
          <cell r="C640">
            <v>2479.77</v>
          </cell>
        </row>
        <row r="641">
          <cell r="A641" t="str">
            <v>40065037</v>
          </cell>
          <cell r="B641" t="str">
            <v>TELEPHONE-GEN SURGERY</v>
          </cell>
          <cell r="C641">
            <v>4726.1400000000003</v>
          </cell>
        </row>
        <row r="642">
          <cell r="A642" t="str">
            <v>40065063</v>
          </cell>
          <cell r="B642" t="str">
            <v>TELEPHONE/INFO DESK</v>
          </cell>
          <cell r="C642">
            <v>43.01</v>
          </cell>
        </row>
        <row r="643">
          <cell r="A643" t="str">
            <v>40065066</v>
          </cell>
          <cell r="B643" t="str">
            <v>TELEPHONE/TELEGRAPH-TELEPHONE</v>
          </cell>
          <cell r="C643">
            <v>81464.47</v>
          </cell>
        </row>
        <row r="644">
          <cell r="A644" t="str">
            <v>40065073</v>
          </cell>
          <cell r="B644" t="str">
            <v>Telephone Spfld Adult Daycare</v>
          </cell>
          <cell r="C644">
            <v>5001.82</v>
          </cell>
        </row>
        <row r="645">
          <cell r="A645" t="str">
            <v>40065083</v>
          </cell>
          <cell r="B645" t="str">
            <v>TELEPHONE/TELEGRAPH-PLANT MAIN</v>
          </cell>
          <cell r="C645">
            <v>3045.75</v>
          </cell>
        </row>
        <row r="646">
          <cell r="A646" t="str">
            <v>40066040</v>
          </cell>
          <cell r="B646" t="str">
            <v>TEMP DIRECT EXP</v>
          </cell>
          <cell r="C646">
            <v>18000</v>
          </cell>
        </row>
        <row r="647">
          <cell r="A647" t="str">
            <v>40066041</v>
          </cell>
          <cell r="B647" t="str">
            <v>TEMP DIRECT</v>
          </cell>
          <cell r="C647">
            <v>190606.3</v>
          </cell>
        </row>
        <row r="648">
          <cell r="A648" t="str">
            <v>40066044</v>
          </cell>
          <cell r="B648" t="str">
            <v>TEMP DIRECT EXPENSE</v>
          </cell>
          <cell r="C648">
            <v>43533.75</v>
          </cell>
        </row>
        <row r="649">
          <cell r="A649" t="str">
            <v>40066046</v>
          </cell>
          <cell r="B649" t="str">
            <v>TRAVELER DIRECT</v>
          </cell>
          <cell r="C649">
            <v>9607.32</v>
          </cell>
        </row>
        <row r="650">
          <cell r="A650" t="str">
            <v>40066049</v>
          </cell>
          <cell r="B650" t="str">
            <v>TEMP DIRECT-PT</v>
          </cell>
          <cell r="C650">
            <v>173670.32</v>
          </cell>
        </row>
        <row r="651">
          <cell r="A651" t="str">
            <v>40066052</v>
          </cell>
          <cell r="B651" t="str">
            <v>TEMP-DIRECT-OT</v>
          </cell>
          <cell r="C651">
            <v>22206.37</v>
          </cell>
        </row>
        <row r="652">
          <cell r="A652" t="str">
            <v>40072009</v>
          </cell>
          <cell r="B652" t="str">
            <v>MAIN/REPAIRS-MED/SURG I</v>
          </cell>
          <cell r="C652">
            <v>8379</v>
          </cell>
        </row>
        <row r="653">
          <cell r="A653" t="str">
            <v>40072013</v>
          </cell>
          <cell r="B653" t="str">
            <v>MAINT+ REPAIRS-CHILDBIRTH</v>
          </cell>
          <cell r="C653">
            <v>2489.5</v>
          </cell>
        </row>
        <row r="654">
          <cell r="A654" t="str">
            <v>40072015</v>
          </cell>
          <cell r="B654" t="str">
            <v>MAINT &amp; REPAIRS - ENT</v>
          </cell>
          <cell r="C654">
            <v>490</v>
          </cell>
        </row>
        <row r="655">
          <cell r="A655" t="str">
            <v>40072017</v>
          </cell>
          <cell r="B655" t="str">
            <v>MAINT &amp; REPAIRS-CVOSM</v>
          </cell>
          <cell r="C655">
            <v>4285.2</v>
          </cell>
        </row>
        <row r="656">
          <cell r="A656" t="str">
            <v>40072018</v>
          </cell>
          <cell r="B656" t="str">
            <v>MAINT &amp; RPR,EQUIP-WINDHAM</v>
          </cell>
          <cell r="C656">
            <v>4045.3</v>
          </cell>
        </row>
        <row r="657">
          <cell r="A657" t="str">
            <v>40072020</v>
          </cell>
          <cell r="B657" t="str">
            <v>MAIN. &amp; REPAIR - MAMMO</v>
          </cell>
          <cell r="C657">
            <v>3734.6</v>
          </cell>
        </row>
        <row r="658">
          <cell r="A658" t="str">
            <v>40072021</v>
          </cell>
          <cell r="B658" t="str">
            <v>MAINT + REPAIRS - OR</v>
          </cell>
          <cell r="C658">
            <v>47163.91</v>
          </cell>
        </row>
        <row r="659">
          <cell r="A659" t="str">
            <v>40072022</v>
          </cell>
          <cell r="B659" t="str">
            <v>MAINT &amp; REPAIRS-RECOVERY</v>
          </cell>
          <cell r="C659">
            <v>1272</v>
          </cell>
        </row>
        <row r="660">
          <cell r="A660" t="str">
            <v>40072023</v>
          </cell>
          <cell r="B660" t="str">
            <v>MAINT. + REPAIRS-EMERGENCY SVC</v>
          </cell>
          <cell r="C660">
            <v>6893</v>
          </cell>
        </row>
        <row r="661">
          <cell r="A661" t="str">
            <v>40072024</v>
          </cell>
          <cell r="B661" t="str">
            <v>MAINT + REPAIRS-ONE DAY SURGRY</v>
          </cell>
          <cell r="C661">
            <v>1169</v>
          </cell>
        </row>
        <row r="662">
          <cell r="A662" t="str">
            <v>40072027</v>
          </cell>
          <cell r="B662" t="str">
            <v>MAINT &amp; REPAIRS-CENTRAL SVC</v>
          </cell>
          <cell r="C662">
            <v>80</v>
          </cell>
        </row>
        <row r="663">
          <cell r="A663" t="str">
            <v>40072028</v>
          </cell>
          <cell r="B663" t="str">
            <v>MAINT.&amp; REPAIRS-SPEC. PROC.</v>
          </cell>
          <cell r="C663">
            <v>9245.5</v>
          </cell>
        </row>
        <row r="664">
          <cell r="A664" t="str">
            <v>40072029</v>
          </cell>
          <cell r="B664" t="str">
            <v>MAINT &amp; REPAIRS-SPEC SERVICES</v>
          </cell>
          <cell r="C664">
            <v>1208</v>
          </cell>
        </row>
        <row r="665">
          <cell r="A665" t="str">
            <v>40072037</v>
          </cell>
          <cell r="B665" t="str">
            <v>MAIN &amp; REPAIRS-SURGICAL</v>
          </cell>
          <cell r="C665">
            <v>1293.0999999999999</v>
          </cell>
        </row>
        <row r="666">
          <cell r="A666" t="str">
            <v>40072040</v>
          </cell>
          <cell r="B666" t="str">
            <v>MAINT &amp; REPAIR-ULTRASOUND</v>
          </cell>
          <cell r="C666">
            <v>2346.66</v>
          </cell>
        </row>
        <row r="667">
          <cell r="A667" t="str">
            <v>40072041</v>
          </cell>
          <cell r="B667" t="str">
            <v>MAINT. &amp; REPAIRS-LAB-CLIN</v>
          </cell>
          <cell r="C667">
            <v>38742.99</v>
          </cell>
        </row>
        <row r="668">
          <cell r="A668" t="str">
            <v>40072043</v>
          </cell>
          <cell r="B668" t="str">
            <v>MAINT. &amp; REPAIRS-ELECTROCARDIO</v>
          </cell>
          <cell r="C668">
            <v>248</v>
          </cell>
        </row>
        <row r="669">
          <cell r="A669" t="str">
            <v>40072044</v>
          </cell>
          <cell r="B669" t="str">
            <v>MAINT + REPAIRS-RADIOLOGY</v>
          </cell>
          <cell r="C669">
            <v>380315.27</v>
          </cell>
        </row>
        <row r="670">
          <cell r="A670" t="str">
            <v>40072045</v>
          </cell>
          <cell r="B670" t="str">
            <v>MAIN &amp; REPAIR-CAT SCAN</v>
          </cell>
          <cell r="C670">
            <v>142712.44</v>
          </cell>
        </row>
        <row r="671">
          <cell r="A671" t="str">
            <v>40072046</v>
          </cell>
          <cell r="B671" t="str">
            <v>MAINT + REPAIRS-NUCLEAR MED</v>
          </cell>
          <cell r="C671">
            <v>34937.5</v>
          </cell>
        </row>
        <row r="672">
          <cell r="A672" t="str">
            <v>40072047</v>
          </cell>
          <cell r="B672" t="str">
            <v>MAINT.+ REPAIRS - PHARMACY</v>
          </cell>
          <cell r="C672">
            <v>3720</v>
          </cell>
        </row>
        <row r="673">
          <cell r="A673" t="str">
            <v>40072048</v>
          </cell>
          <cell r="B673" t="str">
            <v>MAINT + REPAIRS-ANESTHESIOLOGY</v>
          </cell>
          <cell r="C673">
            <v>2063.48</v>
          </cell>
        </row>
        <row r="674">
          <cell r="A674" t="str">
            <v>40072050</v>
          </cell>
          <cell r="B674" t="str">
            <v>MAINT. + REPAIRS-RESP THERAPY</v>
          </cell>
          <cell r="C674">
            <v>5.79</v>
          </cell>
        </row>
        <row r="675">
          <cell r="A675" t="str">
            <v>40072055</v>
          </cell>
          <cell r="B675" t="str">
            <v>MAINTENANCE &amp; REPAIR</v>
          </cell>
          <cell r="C675">
            <v>27535.84</v>
          </cell>
        </row>
        <row r="676">
          <cell r="A676" t="str">
            <v>40072057</v>
          </cell>
          <cell r="B676" t="str">
            <v>MAINT + REPAIRS-MEDICAL REC</v>
          </cell>
          <cell r="C676">
            <v>9093.74</v>
          </cell>
        </row>
        <row r="677">
          <cell r="A677" t="str">
            <v>40072064</v>
          </cell>
          <cell r="B677" t="str">
            <v>MAINT + REPAIRS-PUR &amp; STORES</v>
          </cell>
          <cell r="C677">
            <v>620</v>
          </cell>
        </row>
        <row r="678">
          <cell r="A678" t="str">
            <v>40072068</v>
          </cell>
          <cell r="B678" t="str">
            <v>MAINT + REPAIRS-PRINTING</v>
          </cell>
          <cell r="C678">
            <v>5829.74</v>
          </cell>
        </row>
        <row r="679">
          <cell r="A679" t="str">
            <v>40072069</v>
          </cell>
          <cell r="B679" t="str">
            <v>MAINT &amp; REPAIRS</v>
          </cell>
          <cell r="C679">
            <v>10795.52</v>
          </cell>
        </row>
        <row r="680">
          <cell r="A680" t="str">
            <v>40072073</v>
          </cell>
          <cell r="B680" t="str">
            <v>MAINT/REPAIRS-SPFLD DAYCARE</v>
          </cell>
          <cell r="C680">
            <v>2232.46</v>
          </cell>
        </row>
        <row r="681">
          <cell r="A681" t="str">
            <v>40072080</v>
          </cell>
          <cell r="B681" t="str">
            <v>MAINT + REPAIRS-DIETARY SERVIC</v>
          </cell>
          <cell r="C681">
            <v>4627.97</v>
          </cell>
        </row>
        <row r="682">
          <cell r="A682" t="str">
            <v>40072083</v>
          </cell>
          <cell r="B682" t="str">
            <v>MAINT &amp; REPAIRS-PLANT MAIN.</v>
          </cell>
          <cell r="C682">
            <v>64174.41</v>
          </cell>
        </row>
        <row r="683">
          <cell r="A683" t="str">
            <v>40072085</v>
          </cell>
          <cell r="B683" t="str">
            <v>MAINT + REPAIRS-HSKP SERVICES</v>
          </cell>
          <cell r="C683">
            <v>3097.85</v>
          </cell>
        </row>
        <row r="684">
          <cell r="A684" t="str">
            <v>40072091</v>
          </cell>
          <cell r="B684" t="str">
            <v>MAINT + REPAIRS-DATA PROCESS</v>
          </cell>
          <cell r="C684">
            <v>1139</v>
          </cell>
        </row>
        <row r="685">
          <cell r="A685" t="str">
            <v>40072092</v>
          </cell>
          <cell r="B685" t="str">
            <v>MAINT + REPAIRS-GENERAL ACCT</v>
          </cell>
          <cell r="C685">
            <v>1925</v>
          </cell>
        </row>
        <row r="686">
          <cell r="A686" t="str">
            <v>40074017</v>
          </cell>
          <cell r="B686" t="str">
            <v>LAUNDRY &amp; LINEN-CVOSM</v>
          </cell>
          <cell r="C686">
            <v>421.82</v>
          </cell>
        </row>
        <row r="687">
          <cell r="A687" t="str">
            <v>40074055</v>
          </cell>
          <cell r="B687" t="str">
            <v>LAUNDRY/LINEN CODING</v>
          </cell>
          <cell r="C687">
            <v>553.36</v>
          </cell>
        </row>
        <row r="688">
          <cell r="A688" t="str">
            <v>40074084</v>
          </cell>
          <cell r="B688" t="str">
            <v>LAUNDRY/LINEN-PT BF</v>
          </cell>
          <cell r="C688">
            <v>439.47</v>
          </cell>
        </row>
        <row r="689">
          <cell r="A689" t="str">
            <v>40074086</v>
          </cell>
          <cell r="B689" t="str">
            <v>LAUNDRY + LINEN--LAUND &amp; LINEN</v>
          </cell>
          <cell r="C689">
            <v>154808.6</v>
          </cell>
        </row>
        <row r="690">
          <cell r="A690" t="str">
            <v>40075047</v>
          </cell>
          <cell r="B690" t="str">
            <v>DATA PROCESSING-PHARMACY</v>
          </cell>
          <cell r="C690">
            <v>2039</v>
          </cell>
        </row>
        <row r="691">
          <cell r="A691" t="str">
            <v>40075057</v>
          </cell>
          <cell r="B691" t="str">
            <v>DATA PROCESSING-MEDICAL REC</v>
          </cell>
          <cell r="C691">
            <v>4651</v>
          </cell>
        </row>
        <row r="692">
          <cell r="A692" t="str">
            <v>40075062</v>
          </cell>
          <cell r="B692" t="str">
            <v>DATA PROCESSING-QUALITY ASSURA</v>
          </cell>
          <cell r="C692">
            <v>91764.82</v>
          </cell>
        </row>
        <row r="693">
          <cell r="A693" t="str">
            <v>40075090</v>
          </cell>
          <cell r="B693" t="str">
            <v>DATA PROCESSING PAT ACCTG</v>
          </cell>
          <cell r="C693">
            <v>61209.09</v>
          </cell>
        </row>
        <row r="694">
          <cell r="A694" t="str">
            <v>40075092</v>
          </cell>
          <cell r="B694" t="str">
            <v>DATA PROCESSING-GENERAL ACCT</v>
          </cell>
          <cell r="C694">
            <v>26123</v>
          </cell>
        </row>
        <row r="695">
          <cell r="A695" t="str">
            <v>40076013</v>
          </cell>
          <cell r="B695" t="str">
            <v>MGT + CONTRACTED SER-CHILDBIRT</v>
          </cell>
          <cell r="C695">
            <v>47.47</v>
          </cell>
        </row>
        <row r="696">
          <cell r="A696" t="str">
            <v>40076015</v>
          </cell>
          <cell r="B696" t="str">
            <v>MGT &amp; CONTRACT FEES - ENT</v>
          </cell>
          <cell r="C696">
            <v>26600</v>
          </cell>
        </row>
        <row r="697">
          <cell r="A697" t="str">
            <v>40076017</v>
          </cell>
          <cell r="B697" t="str">
            <v>MGT+ CONTRACTED SER-CVOSM</v>
          </cell>
          <cell r="C697">
            <v>84225.81</v>
          </cell>
        </row>
        <row r="698">
          <cell r="A698" t="str">
            <v>40076018</v>
          </cell>
          <cell r="B698" t="str">
            <v>MGMT &amp; CNTRCT SRV-WINDHAM</v>
          </cell>
          <cell r="C698">
            <v>45873.29</v>
          </cell>
        </row>
        <row r="699">
          <cell r="A699" t="str">
            <v>40076021</v>
          </cell>
          <cell r="B699" t="str">
            <v>MAN + CONTRACTED SER - OR</v>
          </cell>
          <cell r="C699">
            <v>1269.5999999999999</v>
          </cell>
        </row>
        <row r="700">
          <cell r="A700" t="str">
            <v>40076023</v>
          </cell>
          <cell r="B700" t="str">
            <v>MAN + CONTRACTED SER-EMERG SVC</v>
          </cell>
          <cell r="C700">
            <v>3538216.72</v>
          </cell>
        </row>
        <row r="701">
          <cell r="A701" t="str">
            <v>40076026</v>
          </cell>
          <cell r="B701" t="str">
            <v>MAN &amp; CONTR SERVICES</v>
          </cell>
          <cell r="C701">
            <v>601296.52</v>
          </cell>
        </row>
        <row r="702">
          <cell r="A702" t="str">
            <v>40076037</v>
          </cell>
          <cell r="B702" t="str">
            <v>MGMT &amp; CONTRACT FEES-SURGICAL</v>
          </cell>
          <cell r="C702">
            <v>28175</v>
          </cell>
        </row>
        <row r="703">
          <cell r="A703" t="str">
            <v>40076040</v>
          </cell>
          <cell r="B703" t="str">
            <v>MGMT &amp; CNTRCT SRV-ULTRASOUND</v>
          </cell>
          <cell r="C703">
            <v>920</v>
          </cell>
        </row>
        <row r="704">
          <cell r="A704" t="str">
            <v>40076041</v>
          </cell>
          <cell r="B704" t="str">
            <v>MAN &amp; CONTRACTED SEV-LAB-CLIN</v>
          </cell>
          <cell r="C704">
            <v>8291.4</v>
          </cell>
        </row>
        <row r="705">
          <cell r="A705" t="str">
            <v>40076044</v>
          </cell>
          <cell r="B705" t="str">
            <v>MAN + CONTRACTED SEV-RADIOLOGY</v>
          </cell>
          <cell r="C705">
            <v>510852.96</v>
          </cell>
        </row>
        <row r="706">
          <cell r="A706" t="str">
            <v>40076045</v>
          </cell>
          <cell r="B706" t="str">
            <v>MAN &amp; CONTRACTED SEV-CAT SCAN</v>
          </cell>
          <cell r="C706">
            <v>23025.98</v>
          </cell>
        </row>
        <row r="707">
          <cell r="A707" t="str">
            <v>40076047</v>
          </cell>
          <cell r="B707" t="str">
            <v>MAN + CONTRACTED SEV-PHARMACY</v>
          </cell>
          <cell r="C707">
            <v>19290.55</v>
          </cell>
        </row>
        <row r="708">
          <cell r="A708" t="str">
            <v>40076050</v>
          </cell>
          <cell r="B708" t="str">
            <v>MAN + CONTRACTED SEV-RESP THPY</v>
          </cell>
          <cell r="C708">
            <v>4384.17</v>
          </cell>
        </row>
        <row r="709">
          <cell r="A709" t="str">
            <v>40076057</v>
          </cell>
          <cell r="B709" t="str">
            <v>MAN + CONTRACTED SER-MED REC</v>
          </cell>
          <cell r="C709">
            <v>781</v>
          </cell>
        </row>
        <row r="710">
          <cell r="A710" t="str">
            <v>40076058</v>
          </cell>
          <cell r="B710" t="str">
            <v>MAN &amp; CONTRACTED SER-ANES.</v>
          </cell>
          <cell r="C710">
            <v>37800</v>
          </cell>
        </row>
        <row r="711">
          <cell r="A711" t="str">
            <v>40076061</v>
          </cell>
          <cell r="B711" t="str">
            <v>MAN + CONTRACTED SEV-PERSONNEL</v>
          </cell>
          <cell r="C711">
            <v>16676.71</v>
          </cell>
        </row>
        <row r="712">
          <cell r="A712" t="str">
            <v>40076073</v>
          </cell>
          <cell r="B712" t="str">
            <v>MGMNT/CONT SVCS - SPFLD ADULT</v>
          </cell>
          <cell r="C712">
            <v>1385</v>
          </cell>
        </row>
        <row r="713">
          <cell r="A713" t="str">
            <v>40076080</v>
          </cell>
          <cell r="B713" t="str">
            <v>MAN + CONTRACTED SER-DIETARY</v>
          </cell>
          <cell r="C713">
            <v>90</v>
          </cell>
        </row>
        <row r="714">
          <cell r="A714" t="str">
            <v>40076083</v>
          </cell>
          <cell r="B714" t="str">
            <v>MAN + CONTRACTED SER-PLANT MNT</v>
          </cell>
          <cell r="C714">
            <v>124784.81</v>
          </cell>
        </row>
        <row r="715">
          <cell r="A715" t="str">
            <v>40076090</v>
          </cell>
          <cell r="B715" t="str">
            <v>MAN + CONTRACTED SER-PAT ACCT</v>
          </cell>
          <cell r="C715">
            <v>1852.34</v>
          </cell>
        </row>
        <row r="716">
          <cell r="A716" t="str">
            <v>40076091</v>
          </cell>
          <cell r="B716" t="str">
            <v>MAN + CONTRACTED SEV-DATA PROC</v>
          </cell>
          <cell r="C716">
            <v>541503.93999999994</v>
          </cell>
        </row>
        <row r="717">
          <cell r="A717" t="str">
            <v>40076092</v>
          </cell>
          <cell r="B717" t="str">
            <v>MAN + CONTRACTED SEV-GEN ACCT</v>
          </cell>
          <cell r="C717">
            <v>14532.36</v>
          </cell>
        </row>
        <row r="718">
          <cell r="A718" t="str">
            <v>40076096</v>
          </cell>
          <cell r="B718" t="str">
            <v>MGMT &amp; CNTRCT SVCS-HOSPITALIST</v>
          </cell>
          <cell r="C718">
            <v>49000</v>
          </cell>
        </row>
        <row r="719">
          <cell r="A719" t="str">
            <v>40076097</v>
          </cell>
          <cell r="B719" t="str">
            <v>MAN + CONTRACTED SER-AUXILIARY</v>
          </cell>
          <cell r="C719">
            <v>3947.3</v>
          </cell>
        </row>
        <row r="720">
          <cell r="A720" t="str">
            <v>40077090</v>
          </cell>
          <cell r="B720" t="str">
            <v>COLLECTION AGENCY</v>
          </cell>
          <cell r="C720">
            <v>80457.81</v>
          </cell>
        </row>
        <row r="721">
          <cell r="A721" t="str">
            <v>40079009</v>
          </cell>
          <cell r="B721" t="str">
            <v>OTHER PURCHASED SERV-MSU</v>
          </cell>
          <cell r="C721">
            <v>61270.45</v>
          </cell>
        </row>
        <row r="722">
          <cell r="A722" t="str">
            <v>40079013</v>
          </cell>
          <cell r="B722" t="str">
            <v>OTHER PURCHASED SERV-CHILDBIRT</v>
          </cell>
          <cell r="C722">
            <v>25752.5</v>
          </cell>
        </row>
        <row r="723">
          <cell r="A723" t="str">
            <v>40079015</v>
          </cell>
          <cell r="B723" t="str">
            <v>OTHER PURCHASED SERV - ENT</v>
          </cell>
          <cell r="C723">
            <v>35006.94</v>
          </cell>
        </row>
        <row r="724">
          <cell r="A724" t="str">
            <v>40079017</v>
          </cell>
          <cell r="B724" t="str">
            <v>OTHER PURCHASED SERV-CVOSM</v>
          </cell>
          <cell r="C724">
            <v>31976.09</v>
          </cell>
        </row>
        <row r="725">
          <cell r="A725" t="str">
            <v>40079018</v>
          </cell>
          <cell r="B725" t="str">
            <v>OTHER PURCH SERV-RMH-PSYCH</v>
          </cell>
          <cell r="C725">
            <v>7639.75</v>
          </cell>
        </row>
        <row r="726">
          <cell r="A726" t="str">
            <v>40079020</v>
          </cell>
          <cell r="B726" t="str">
            <v>OTHER PURCHASED SERV. - MAMMO</v>
          </cell>
          <cell r="C726">
            <v>54631.66</v>
          </cell>
        </row>
        <row r="727">
          <cell r="A727" t="str">
            <v>40079021</v>
          </cell>
          <cell r="B727" t="str">
            <v>OTHER PURCHASED SERV - OR</v>
          </cell>
          <cell r="C727">
            <v>144112.70000000001</v>
          </cell>
        </row>
        <row r="728">
          <cell r="A728" t="str">
            <v>40079022</v>
          </cell>
          <cell r="B728" t="str">
            <v>OTHER PURCHASED SERV-RECOVERY</v>
          </cell>
          <cell r="C728">
            <v>1328</v>
          </cell>
        </row>
        <row r="729">
          <cell r="A729" t="str">
            <v>40079023</v>
          </cell>
          <cell r="B729" t="str">
            <v>OTHER PURCHASED SVC-EMERG.SVC.</v>
          </cell>
          <cell r="C729">
            <v>8043.81</v>
          </cell>
        </row>
        <row r="730">
          <cell r="A730" t="str">
            <v>40079028</v>
          </cell>
          <cell r="B730" t="str">
            <v>OTHER PURCH. SERV-SPEC. PROC.</v>
          </cell>
          <cell r="C730">
            <v>110</v>
          </cell>
        </row>
        <row r="731">
          <cell r="A731" t="str">
            <v>40079029</v>
          </cell>
          <cell r="B731" t="str">
            <v>OTHER PURCH. SERV-SP SERVICES</v>
          </cell>
          <cell r="C731">
            <v>275.25</v>
          </cell>
        </row>
        <row r="732">
          <cell r="A732" t="str">
            <v>40079036</v>
          </cell>
          <cell r="B732" t="str">
            <v>OTHER PURCHASED - MRI</v>
          </cell>
          <cell r="C732">
            <v>577210.26</v>
          </cell>
        </row>
        <row r="733">
          <cell r="A733" t="str">
            <v>40079037</v>
          </cell>
          <cell r="B733" t="str">
            <v>OTHER PURCH SVCS-SURGICAL</v>
          </cell>
          <cell r="C733">
            <v>9971.24</v>
          </cell>
        </row>
        <row r="734">
          <cell r="A734" t="str">
            <v>40079039</v>
          </cell>
          <cell r="B734" t="str">
            <v>OTHER PURCHASED SVCS-SECURITY</v>
          </cell>
          <cell r="C734">
            <v>198586.2</v>
          </cell>
        </row>
        <row r="735">
          <cell r="A735" t="str">
            <v>40079040</v>
          </cell>
          <cell r="B735" t="str">
            <v>OTHER PURCHASED SERV-ULTRASND</v>
          </cell>
          <cell r="C735">
            <v>31986.89</v>
          </cell>
        </row>
        <row r="736">
          <cell r="A736" t="str">
            <v>40079041</v>
          </cell>
          <cell r="B736" t="str">
            <v>OTHER PURCHASED SERV-LAB-CLIN</v>
          </cell>
          <cell r="C736">
            <v>976539.24</v>
          </cell>
        </row>
        <row r="737">
          <cell r="A737" t="str">
            <v>40079042</v>
          </cell>
          <cell r="B737" t="str">
            <v>OTHER PURCHASED SERV-BLOOD BK</v>
          </cell>
          <cell r="C737">
            <v>0</v>
          </cell>
        </row>
        <row r="738">
          <cell r="A738" t="str">
            <v>40079043</v>
          </cell>
          <cell r="B738" t="str">
            <v>OTHER PURCHASED SERV/ELECTROCA</v>
          </cell>
          <cell r="C738">
            <v>576</v>
          </cell>
        </row>
        <row r="739">
          <cell r="A739" t="str">
            <v>40079044</v>
          </cell>
          <cell r="B739" t="str">
            <v>OTHER PURCHASED SERV-RADIOLOGY</v>
          </cell>
          <cell r="C739">
            <v>17009.57</v>
          </cell>
        </row>
        <row r="740">
          <cell r="A740" t="str">
            <v>40079045</v>
          </cell>
          <cell r="B740" t="str">
            <v>OTHER PURCHASED SERV-CAT SCAN</v>
          </cell>
          <cell r="C740">
            <v>114589.94</v>
          </cell>
        </row>
        <row r="741">
          <cell r="A741" t="str">
            <v>40079046</v>
          </cell>
          <cell r="B741" t="str">
            <v>OTHER PURCHASED SERV-NUC MED</v>
          </cell>
          <cell r="C741">
            <v>4966.67</v>
          </cell>
        </row>
        <row r="742">
          <cell r="A742" t="str">
            <v>40079047</v>
          </cell>
          <cell r="B742" t="str">
            <v>OTHER PURCHASED SERV-PHARMACY</v>
          </cell>
          <cell r="C742">
            <v>198712.02</v>
          </cell>
        </row>
        <row r="743">
          <cell r="A743" t="str">
            <v>40079048</v>
          </cell>
          <cell r="B743" t="str">
            <v>OTHER PURCHASED SERV-ANESTH</v>
          </cell>
          <cell r="C743">
            <v>1612</v>
          </cell>
        </row>
        <row r="744">
          <cell r="A744" t="str">
            <v>40079049</v>
          </cell>
          <cell r="B744" t="str">
            <v>OTHER PURCHASED SERV-PHY THPY</v>
          </cell>
          <cell r="C744">
            <v>31242</v>
          </cell>
        </row>
        <row r="745">
          <cell r="A745" t="str">
            <v>40079050</v>
          </cell>
          <cell r="B745" t="str">
            <v>OTHER PURCHASED SERV-RESP THPY</v>
          </cell>
          <cell r="C745">
            <v>16935</v>
          </cell>
        </row>
        <row r="746">
          <cell r="A746" t="str">
            <v>40079052</v>
          </cell>
          <cell r="B746" t="str">
            <v>OTHER PURCHASED SERV-OCCP THPY</v>
          </cell>
          <cell r="C746">
            <v>32900</v>
          </cell>
        </row>
        <row r="747">
          <cell r="A747" t="str">
            <v>40079055</v>
          </cell>
          <cell r="B747" t="str">
            <v>PURCHASED SERVICE</v>
          </cell>
          <cell r="C747">
            <v>25400</v>
          </cell>
        </row>
        <row r="748">
          <cell r="A748" t="str">
            <v>40079057</v>
          </cell>
          <cell r="B748" t="str">
            <v>OTHER PURCHASED SERV-MED REC</v>
          </cell>
          <cell r="C748">
            <v>184556.28</v>
          </cell>
        </row>
        <row r="749">
          <cell r="A749" t="str">
            <v>40079060</v>
          </cell>
          <cell r="B749" t="str">
            <v>OTHER PURCHASED SERV-ADM &amp; GEN</v>
          </cell>
          <cell r="C749">
            <v>1250</v>
          </cell>
        </row>
        <row r="750">
          <cell r="A750" t="str">
            <v>40079061</v>
          </cell>
          <cell r="B750" t="str">
            <v>OTHER PURCHASED SERV-PERSONNEL</v>
          </cell>
          <cell r="C750">
            <v>435</v>
          </cell>
        </row>
        <row r="751">
          <cell r="A751" t="str">
            <v>40079062</v>
          </cell>
          <cell r="B751" t="str">
            <v>OTHER PURCHASED SERV-QUALITY A</v>
          </cell>
          <cell r="C751">
            <v>43562.35</v>
          </cell>
        </row>
        <row r="752">
          <cell r="A752" t="str">
            <v>40079073</v>
          </cell>
          <cell r="B752" t="str">
            <v>OTHER PURCHASED SVCS - SPFLD A</v>
          </cell>
          <cell r="C752">
            <v>40761.81</v>
          </cell>
        </row>
        <row r="753">
          <cell r="A753" t="str">
            <v>40079083</v>
          </cell>
          <cell r="B753" t="str">
            <v>OTHER PURCHASED SERV-PLANT MNT</v>
          </cell>
          <cell r="C753">
            <v>388468.17</v>
          </cell>
        </row>
        <row r="754">
          <cell r="A754" t="str">
            <v>40079085</v>
          </cell>
          <cell r="B754" t="str">
            <v>OTHER PURCHASED SERV-HSKP SERV</v>
          </cell>
          <cell r="C754">
            <v>11936.25</v>
          </cell>
        </row>
        <row r="755">
          <cell r="A755" t="str">
            <v>40079086</v>
          </cell>
          <cell r="B755" t="str">
            <v>OTHER PURCHASED SERV-LAUND/LIN</v>
          </cell>
          <cell r="C755">
            <v>253.14</v>
          </cell>
        </row>
        <row r="756">
          <cell r="A756" t="str">
            <v>40079090</v>
          </cell>
          <cell r="B756" t="str">
            <v>OTHER PURCHASED SERV-PAT ACCT</v>
          </cell>
          <cell r="C756">
            <v>200843.25</v>
          </cell>
        </row>
        <row r="757">
          <cell r="A757" t="str">
            <v>40079091</v>
          </cell>
          <cell r="B757" t="str">
            <v>OTHER PURCHASED SERV-DATA PROC</v>
          </cell>
          <cell r="C757">
            <v>8250</v>
          </cell>
        </row>
        <row r="758">
          <cell r="A758" t="str">
            <v>40079092</v>
          </cell>
          <cell r="B758" t="str">
            <v>OTHER PURCHASED SERV-GEN ACCT</v>
          </cell>
          <cell r="C758">
            <v>947.2</v>
          </cell>
        </row>
        <row r="759">
          <cell r="A759" t="str">
            <v>40079095</v>
          </cell>
          <cell r="B759" t="str">
            <v>OTHER PURCHASED SER-CORP COMPL</v>
          </cell>
          <cell r="C759">
            <v>9494.35</v>
          </cell>
        </row>
        <row r="760">
          <cell r="A760" t="str">
            <v>40080080</v>
          </cell>
          <cell r="B760" t="str">
            <v>INTRACOMPANY CHARGES</v>
          </cell>
          <cell r="C760">
            <v>-77644.27</v>
          </cell>
        </row>
        <row r="761">
          <cell r="A761" t="str">
            <v>40081015</v>
          </cell>
          <cell r="B761" t="str">
            <v>INSURANCE EXP. - ENT</v>
          </cell>
          <cell r="C761">
            <v>18912</v>
          </cell>
        </row>
        <row r="762">
          <cell r="A762" t="str">
            <v>40081017</v>
          </cell>
          <cell r="B762" t="str">
            <v>INSURANCE</v>
          </cell>
          <cell r="C762">
            <v>69205.960000000006</v>
          </cell>
        </row>
        <row r="763">
          <cell r="A763" t="str">
            <v>40081031</v>
          </cell>
          <cell r="B763" t="str">
            <v>INSURANCE-PROPERTY</v>
          </cell>
          <cell r="C763">
            <v>50162</v>
          </cell>
        </row>
        <row r="764">
          <cell r="A764" t="str">
            <v>40081032</v>
          </cell>
          <cell r="B764" t="str">
            <v>INSURANCE-GENERAL LIABILITY</v>
          </cell>
          <cell r="C764">
            <v>22153</v>
          </cell>
        </row>
        <row r="765">
          <cell r="A765" t="str">
            <v>40081033</v>
          </cell>
          <cell r="B765" t="str">
            <v>INSURANCE-MALPRACTICE</v>
          </cell>
          <cell r="C765">
            <v>407004</v>
          </cell>
        </row>
        <row r="766">
          <cell r="A766" t="str">
            <v>40081037</v>
          </cell>
          <cell r="B766" t="str">
            <v>INSURANCE EXPENSE</v>
          </cell>
          <cell r="C766">
            <v>136368.38</v>
          </cell>
        </row>
        <row r="767">
          <cell r="A767" t="str">
            <v>40081060</v>
          </cell>
          <cell r="B767" t="str">
            <v>INSURANCE EXP-ADMIN</v>
          </cell>
          <cell r="C767">
            <v>46362</v>
          </cell>
        </row>
        <row r="768">
          <cell r="A768" t="str">
            <v>40082071</v>
          </cell>
          <cell r="B768" t="str">
            <v>INTEREST EXPENSE - GENERAL</v>
          </cell>
          <cell r="C768">
            <v>373221.21</v>
          </cell>
        </row>
        <row r="769">
          <cell r="A769" t="str">
            <v>40083009</v>
          </cell>
          <cell r="B769" t="str">
            <v>LICENSE &amp;TAXES-MSU</v>
          </cell>
          <cell r="C769">
            <v>25.34</v>
          </cell>
        </row>
        <row r="770">
          <cell r="A770" t="str">
            <v>40083013</v>
          </cell>
          <cell r="B770" t="str">
            <v>LICENSE &amp; TAX-CBC</v>
          </cell>
          <cell r="C770">
            <v>166.67</v>
          </cell>
        </row>
        <row r="771">
          <cell r="A771" t="str">
            <v>40083015</v>
          </cell>
          <cell r="B771" t="str">
            <v>LIC &amp; TAXES - ENT</v>
          </cell>
          <cell r="C771">
            <v>731</v>
          </cell>
        </row>
        <row r="772">
          <cell r="A772" t="str">
            <v>40083017</v>
          </cell>
          <cell r="B772" t="str">
            <v>LICENSES</v>
          </cell>
          <cell r="C772">
            <v>551.20000000000005</v>
          </cell>
        </row>
        <row r="773">
          <cell r="A773" t="str">
            <v>40083020</v>
          </cell>
          <cell r="B773" t="str">
            <v>LICENSE &amp; TAXES - MAMMO</v>
          </cell>
          <cell r="C773">
            <v>3615</v>
          </cell>
        </row>
        <row r="774">
          <cell r="A774" t="str">
            <v>40083023</v>
          </cell>
          <cell r="B774" t="str">
            <v>LICENSE &amp; TAX - ER</v>
          </cell>
          <cell r="C774">
            <v>103.74</v>
          </cell>
        </row>
        <row r="775">
          <cell r="A775" t="str">
            <v>40083041</v>
          </cell>
          <cell r="B775" t="str">
            <v>LICENSE &amp; TAXES</v>
          </cell>
          <cell r="C775">
            <v>3463.76</v>
          </cell>
        </row>
        <row r="776">
          <cell r="A776" t="str">
            <v>40083046</v>
          </cell>
          <cell r="B776" t="str">
            <v>LIC, FEES-NUCLEAR MED</v>
          </cell>
          <cell r="C776">
            <v>15367.5</v>
          </cell>
        </row>
        <row r="777">
          <cell r="A777" t="str">
            <v>40083060</v>
          </cell>
          <cell r="B777" t="str">
            <v>LIC &amp; TAXES NON INC-ADM &amp; GEN</v>
          </cell>
          <cell r="C777">
            <v>4052.69</v>
          </cell>
        </row>
        <row r="778">
          <cell r="A778" t="str">
            <v>40083064</v>
          </cell>
          <cell r="B778" t="str">
            <v>LIC. + TAXES NON INC-PUR &amp; STO</v>
          </cell>
          <cell r="C778">
            <v>49.5</v>
          </cell>
        </row>
        <row r="779">
          <cell r="A779" t="str">
            <v>40083083</v>
          </cell>
          <cell r="B779" t="str">
            <v>LIC. + TAXES NON INC-PLANT MNT</v>
          </cell>
          <cell r="C779">
            <v>1100</v>
          </cell>
        </row>
        <row r="780">
          <cell r="A780" t="str">
            <v>40083091</v>
          </cell>
          <cell r="B780" t="str">
            <v>License  Taxes</v>
          </cell>
          <cell r="C780">
            <v>3431.49</v>
          </cell>
        </row>
        <row r="781">
          <cell r="A781" t="str">
            <v>40084001</v>
          </cell>
          <cell r="B781" t="str">
            <v>DUES/BOOKS/SUBS - CHESTER FAM</v>
          </cell>
          <cell r="C781">
            <v>0</v>
          </cell>
        </row>
        <row r="782">
          <cell r="A782" t="str">
            <v>40084002</v>
          </cell>
          <cell r="B782" t="str">
            <v>BOOKS,DUES,SUBSCRP-RMG</v>
          </cell>
          <cell r="C782">
            <v>0</v>
          </cell>
        </row>
        <row r="783">
          <cell r="A783" t="str">
            <v>40084008</v>
          </cell>
          <cell r="B783" t="str">
            <v>DUES,BOOKS &amp; SUBS-PAT CARE SVC</v>
          </cell>
          <cell r="C783">
            <v>3793.84</v>
          </cell>
        </row>
        <row r="784">
          <cell r="A784" t="str">
            <v>40084009</v>
          </cell>
          <cell r="B784" t="str">
            <v>DUES/BOOKS + SUBS-MSU</v>
          </cell>
          <cell r="C784">
            <v>1826.17</v>
          </cell>
        </row>
        <row r="785">
          <cell r="A785" t="str">
            <v>40084013</v>
          </cell>
          <cell r="B785" t="str">
            <v>DUES/BOOKS + SUBS - CHILDBIRTH</v>
          </cell>
          <cell r="C785">
            <v>4538.6499999999996</v>
          </cell>
        </row>
        <row r="786">
          <cell r="A786" t="str">
            <v>40084015</v>
          </cell>
          <cell r="B786" t="str">
            <v>DUES/BOOKS &amp; SUBS - ENT</v>
          </cell>
          <cell r="C786">
            <v>1949.95</v>
          </cell>
        </row>
        <row r="787">
          <cell r="A787" t="str">
            <v>40084017</v>
          </cell>
          <cell r="B787" t="str">
            <v>DUES/BOOKS &amp; SUBS-CVOSM</v>
          </cell>
          <cell r="C787">
            <v>8172.25</v>
          </cell>
        </row>
        <row r="788">
          <cell r="A788" t="str">
            <v>40084018</v>
          </cell>
          <cell r="B788" t="str">
            <v>DUES/BOOKS/SUBS- WINDHAM</v>
          </cell>
          <cell r="C788">
            <v>1984.7</v>
          </cell>
        </row>
        <row r="789">
          <cell r="A789" t="str">
            <v>40084019</v>
          </cell>
          <cell r="B789" t="str">
            <v>DUES/BOOKS &amp; SUBS-PULM REHAB</v>
          </cell>
          <cell r="C789">
            <v>461.43</v>
          </cell>
        </row>
        <row r="790">
          <cell r="A790" t="str">
            <v>40084020</v>
          </cell>
          <cell r="B790" t="str">
            <v>DUES &amp; BOOKS - MAMMO</v>
          </cell>
          <cell r="C790">
            <v>234.88</v>
          </cell>
        </row>
        <row r="791">
          <cell r="A791" t="str">
            <v>40084021</v>
          </cell>
          <cell r="B791" t="str">
            <v>DUES/BOOKS + SUBS - OR</v>
          </cell>
          <cell r="C791">
            <v>199</v>
          </cell>
        </row>
        <row r="792">
          <cell r="A792" t="str">
            <v>40084023</v>
          </cell>
          <cell r="B792" t="str">
            <v>DUES/BOOKS + SUBS-EMERG. SVCS.</v>
          </cell>
          <cell r="C792">
            <v>2797.91</v>
          </cell>
        </row>
        <row r="793">
          <cell r="A793" t="str">
            <v>40084024</v>
          </cell>
          <cell r="B793" t="str">
            <v>DUES/BOOKS + SUBS-1 DAY SURGRY</v>
          </cell>
          <cell r="C793">
            <v>678.06</v>
          </cell>
        </row>
        <row r="794">
          <cell r="A794" t="str">
            <v>40084029</v>
          </cell>
          <cell r="B794" t="str">
            <v>DUES/BOOKS &amp; SUBS-SP SERVICES</v>
          </cell>
          <cell r="C794">
            <v>634.73</v>
          </cell>
        </row>
        <row r="795">
          <cell r="A795" t="str">
            <v>40084036</v>
          </cell>
          <cell r="B795" t="str">
            <v>DUES/BOOKS &amp; SUBS - MRI</v>
          </cell>
          <cell r="C795">
            <v>125</v>
          </cell>
        </row>
        <row r="796">
          <cell r="A796" t="str">
            <v>40084037</v>
          </cell>
          <cell r="B796" t="str">
            <v>DUES,BOOKS,SUBS-SURGICAL</v>
          </cell>
          <cell r="C796">
            <v>3160.74</v>
          </cell>
        </row>
        <row r="797">
          <cell r="A797" t="str">
            <v>40084040</v>
          </cell>
          <cell r="B797" t="str">
            <v>DUES/BOOKS/SUBSCRPTN-ULTRASOUN</v>
          </cell>
          <cell r="C797">
            <v>966.28</v>
          </cell>
        </row>
        <row r="798">
          <cell r="A798" t="str">
            <v>40084041</v>
          </cell>
          <cell r="B798" t="str">
            <v>DUES/BOOKS &amp; SUBS-LAB-CLIN</v>
          </cell>
          <cell r="C798">
            <v>2084.4299999999998</v>
          </cell>
        </row>
        <row r="799">
          <cell r="A799" t="str">
            <v>40084044</v>
          </cell>
          <cell r="B799" t="str">
            <v>DUES/BOOKS + SUBS-RADIOLOGY</v>
          </cell>
          <cell r="C799">
            <v>4717.91</v>
          </cell>
        </row>
        <row r="800">
          <cell r="A800" t="str">
            <v>40084045</v>
          </cell>
          <cell r="B800" t="str">
            <v>DUES/BOOKS &amp; SUBS-CAT SCAN</v>
          </cell>
          <cell r="C800">
            <v>687</v>
          </cell>
        </row>
        <row r="801">
          <cell r="A801" t="str">
            <v>40084046</v>
          </cell>
          <cell r="B801" t="str">
            <v>DUES/BOOKS + SUBS-NUCLEAR MED</v>
          </cell>
          <cell r="C801">
            <v>118</v>
          </cell>
        </row>
        <row r="802">
          <cell r="A802" t="str">
            <v>40084047</v>
          </cell>
          <cell r="B802" t="str">
            <v>DUES/BOOKS + SUBS-PHARMACY</v>
          </cell>
          <cell r="C802">
            <v>1558.21</v>
          </cell>
        </row>
        <row r="803">
          <cell r="A803" t="str">
            <v>40084048</v>
          </cell>
          <cell r="B803" t="str">
            <v>DUES/BOOKS + SUBS-ANESTH</v>
          </cell>
          <cell r="C803">
            <v>3095.37</v>
          </cell>
        </row>
        <row r="804">
          <cell r="A804" t="str">
            <v>40084049</v>
          </cell>
          <cell r="B804" t="str">
            <v>DUES/BOOKS + SUBS-PHY THERAPY</v>
          </cell>
          <cell r="C804">
            <v>455.9</v>
          </cell>
        </row>
        <row r="805">
          <cell r="A805" t="str">
            <v>40084050</v>
          </cell>
          <cell r="B805" t="str">
            <v>DUES/BOOKS + SUBS-RESP THPY</v>
          </cell>
          <cell r="C805">
            <v>106.25</v>
          </cell>
        </row>
        <row r="806">
          <cell r="A806" t="str">
            <v>40084055</v>
          </cell>
          <cell r="B806" t="str">
            <v>DUES,BOOKS &amp; SUBS</v>
          </cell>
          <cell r="C806">
            <v>735</v>
          </cell>
        </row>
        <row r="807">
          <cell r="A807" t="str">
            <v>40084056</v>
          </cell>
          <cell r="B807" t="str">
            <v>DUES/BOOKS + SUBS-MED LIBRARY</v>
          </cell>
          <cell r="C807">
            <v>32702.65</v>
          </cell>
        </row>
        <row r="808">
          <cell r="A808" t="str">
            <v>40084057</v>
          </cell>
          <cell r="B808" t="str">
            <v>DUES/BOOKS + SUBS-MEDICAL REC</v>
          </cell>
          <cell r="C808">
            <v>4265.51</v>
          </cell>
        </row>
        <row r="809">
          <cell r="A809" t="str">
            <v>40084060</v>
          </cell>
          <cell r="B809" t="str">
            <v>DUES/BOOKS + SUBS-ADM AND GEN</v>
          </cell>
          <cell r="C809">
            <v>153102.95000000001</v>
          </cell>
        </row>
        <row r="810">
          <cell r="A810" t="str">
            <v>40084061</v>
          </cell>
          <cell r="B810" t="str">
            <v>DUES/BOOKS + SUBS-PERSONNEL</v>
          </cell>
          <cell r="C810">
            <v>2711.12</v>
          </cell>
        </row>
        <row r="811">
          <cell r="A811" t="str">
            <v>40084062</v>
          </cell>
          <cell r="B811" t="str">
            <v>DUES/BOOKS &amp; SUBS-QUALITY ASR</v>
          </cell>
          <cell r="C811">
            <v>1212.5</v>
          </cell>
        </row>
        <row r="812">
          <cell r="A812" t="str">
            <v>40084073</v>
          </cell>
          <cell r="B812" t="str">
            <v>DUES/BOOKS-SPFLD DAYCARE</v>
          </cell>
          <cell r="C812">
            <v>3486.81</v>
          </cell>
        </row>
        <row r="813">
          <cell r="A813" t="str">
            <v>40084076</v>
          </cell>
          <cell r="B813" t="str">
            <v>DUES/BOOKS + SUBS-ED/HOSP WIDE</v>
          </cell>
          <cell r="C813">
            <v>7067.09</v>
          </cell>
        </row>
        <row r="814">
          <cell r="A814" t="str">
            <v>40084080</v>
          </cell>
          <cell r="B814" t="str">
            <v>DUES/BOOKS + SUBS-DIETARY SER</v>
          </cell>
          <cell r="C814">
            <v>1826</v>
          </cell>
        </row>
        <row r="815">
          <cell r="A815" t="str">
            <v>40084083</v>
          </cell>
          <cell r="B815" t="str">
            <v>DUES/BOOKS + SUBS-PLANT MAINT</v>
          </cell>
          <cell r="C815">
            <v>2063.86</v>
          </cell>
        </row>
        <row r="816">
          <cell r="A816" t="str">
            <v>40084085</v>
          </cell>
          <cell r="B816" t="str">
            <v>DUES/BOOKS + SUBS-HSKP SERVICE</v>
          </cell>
          <cell r="C816">
            <v>145</v>
          </cell>
        </row>
        <row r="817">
          <cell r="A817" t="str">
            <v>40084090</v>
          </cell>
          <cell r="B817" t="str">
            <v>DUES/BOOKS + SUBS-PATIENT ACCT</v>
          </cell>
          <cell r="C817">
            <v>1187.25</v>
          </cell>
        </row>
        <row r="818">
          <cell r="A818" t="str">
            <v>40084091</v>
          </cell>
          <cell r="B818" t="str">
            <v>DUES/BOOKS + SUBS-DATA PROCESS</v>
          </cell>
          <cell r="C818">
            <v>1998.71</v>
          </cell>
        </row>
        <row r="819">
          <cell r="A819" t="str">
            <v>40084092</v>
          </cell>
          <cell r="B819" t="str">
            <v>DUES/BOOKS + SUBS-GEN ACCT</v>
          </cell>
          <cell r="C819">
            <v>1902.1</v>
          </cell>
        </row>
        <row r="820">
          <cell r="A820" t="str">
            <v>40084095</v>
          </cell>
          <cell r="B820" t="str">
            <v>DUES/BOOKS &amp; SUBS-CORP COMPLN0</v>
          </cell>
          <cell r="C820">
            <v>36.65</v>
          </cell>
        </row>
        <row r="821">
          <cell r="A821" t="str">
            <v>40084096</v>
          </cell>
          <cell r="B821" t="str">
            <v>DUES,BOOKS,SUBSRIPTIONS</v>
          </cell>
          <cell r="C821">
            <v>1536.99</v>
          </cell>
        </row>
        <row r="822">
          <cell r="A822" t="str">
            <v>40084098</v>
          </cell>
          <cell r="B822" t="str">
            <v>DUES/BOOKS + SUBS-MED STAFF</v>
          </cell>
          <cell r="C822">
            <v>2405.31</v>
          </cell>
        </row>
        <row r="823">
          <cell r="A823" t="str">
            <v>40085008</v>
          </cell>
          <cell r="B823" t="str">
            <v>OUTSIDE TRAINING-PAT CARE SVCS</v>
          </cell>
          <cell r="C823">
            <v>2449.9899999999998</v>
          </cell>
        </row>
        <row r="824">
          <cell r="A824" t="str">
            <v>40085009</v>
          </cell>
          <cell r="B824" t="str">
            <v>OUTSIDE TRAINING -MED/SURG</v>
          </cell>
          <cell r="C824">
            <v>6235.36</v>
          </cell>
        </row>
        <row r="825">
          <cell r="A825" t="str">
            <v>40085013</v>
          </cell>
          <cell r="B825" t="str">
            <v>OUTSIDE TRAINING-CHILDBIRTH</v>
          </cell>
          <cell r="C825">
            <v>6666.12</v>
          </cell>
        </row>
        <row r="826">
          <cell r="A826" t="str">
            <v>40085015</v>
          </cell>
          <cell r="B826" t="str">
            <v>OUTSIDE TRAINING - ENT</v>
          </cell>
          <cell r="C826">
            <v>1639.5</v>
          </cell>
        </row>
        <row r="827">
          <cell r="A827" t="str">
            <v>40085017</v>
          </cell>
          <cell r="B827" t="str">
            <v>OUTSIDE TRAINING-CVOSM</v>
          </cell>
          <cell r="C827">
            <v>7226.24</v>
          </cell>
        </row>
        <row r="828">
          <cell r="A828" t="str">
            <v>40085018</v>
          </cell>
          <cell r="B828" t="str">
            <v>OUTSIDE TRAINING - WINDHAM</v>
          </cell>
          <cell r="C828">
            <v>1805.36</v>
          </cell>
        </row>
        <row r="829">
          <cell r="A829" t="str">
            <v>40085019</v>
          </cell>
          <cell r="B829" t="str">
            <v>OUTSIDE TRAINING-PULM REHAB</v>
          </cell>
          <cell r="C829">
            <v>826</v>
          </cell>
        </row>
        <row r="830">
          <cell r="A830" t="str">
            <v>40085020</v>
          </cell>
          <cell r="B830" t="str">
            <v>OUTSIDE TRAINING - MAMMO</v>
          </cell>
          <cell r="C830">
            <v>58.73</v>
          </cell>
        </row>
        <row r="831">
          <cell r="A831" t="str">
            <v>40085021</v>
          </cell>
          <cell r="B831" t="str">
            <v>OUTSIDE TRAIN SES - OR</v>
          </cell>
          <cell r="C831">
            <v>124</v>
          </cell>
        </row>
        <row r="832">
          <cell r="A832" t="str">
            <v>40085023</v>
          </cell>
          <cell r="B832" t="str">
            <v>OUTSIDE TRAIN SES-EMERG. SVCS.</v>
          </cell>
          <cell r="C832">
            <v>8435.5499999999993</v>
          </cell>
        </row>
        <row r="833">
          <cell r="A833" t="str">
            <v>40085024</v>
          </cell>
          <cell r="B833" t="str">
            <v>OUTSIDE TRAIN SES-1DAY SURGERY</v>
          </cell>
          <cell r="C833">
            <v>1246</v>
          </cell>
        </row>
        <row r="834">
          <cell r="A834" t="str">
            <v>40085028</v>
          </cell>
          <cell r="B834" t="str">
            <v>OUTSIDE TRAINING-SPEC. PROC.</v>
          </cell>
          <cell r="C834">
            <v>423.9</v>
          </cell>
        </row>
        <row r="835">
          <cell r="A835" t="str">
            <v>40085029</v>
          </cell>
          <cell r="B835" t="str">
            <v>OUTSIDE TRAINING-SPEC.SERVICES</v>
          </cell>
          <cell r="C835">
            <v>2926</v>
          </cell>
        </row>
        <row r="836">
          <cell r="A836" t="str">
            <v>40085036</v>
          </cell>
          <cell r="B836" t="str">
            <v>OUTSIDE TRAINING - MRI</v>
          </cell>
          <cell r="C836">
            <v>930</v>
          </cell>
        </row>
        <row r="837">
          <cell r="A837" t="str">
            <v>40085037</v>
          </cell>
          <cell r="B837" t="str">
            <v>OUTSIDE TRAINING-SURGICAL</v>
          </cell>
          <cell r="C837">
            <v>1149.2</v>
          </cell>
        </row>
        <row r="838">
          <cell r="A838" t="str">
            <v>40085040</v>
          </cell>
          <cell r="B838" t="str">
            <v>OUTSIDE TRAIN SES-ULTRASOUND</v>
          </cell>
          <cell r="C838">
            <v>7376.64</v>
          </cell>
        </row>
        <row r="839">
          <cell r="A839" t="str">
            <v>40085041</v>
          </cell>
          <cell r="B839" t="str">
            <v>OUTSIDE TRAIN SES-LAB-CLIN</v>
          </cell>
          <cell r="C839">
            <v>2966.54</v>
          </cell>
        </row>
        <row r="840">
          <cell r="A840" t="str">
            <v>40085044</v>
          </cell>
          <cell r="B840" t="str">
            <v>OUTSIDE TRAIN SES-RADIOLOGY</v>
          </cell>
          <cell r="C840">
            <v>6533.7</v>
          </cell>
        </row>
        <row r="841">
          <cell r="A841" t="str">
            <v>40085045</v>
          </cell>
          <cell r="B841" t="str">
            <v>OUTSIDE TRAIN SES-CAT SCAN</v>
          </cell>
          <cell r="C841">
            <v>149</v>
          </cell>
        </row>
        <row r="842">
          <cell r="A842" t="str">
            <v>40085046</v>
          </cell>
          <cell r="B842" t="str">
            <v>OUTSIDE TRAIN SES-NUCLEAR MED</v>
          </cell>
          <cell r="C842">
            <v>1412.53</v>
          </cell>
        </row>
        <row r="843">
          <cell r="A843" t="str">
            <v>40085047</v>
          </cell>
          <cell r="B843" t="str">
            <v>OUTSIDE TRAIN SES-PHARMACY</v>
          </cell>
          <cell r="C843">
            <v>1612.98</v>
          </cell>
        </row>
        <row r="844">
          <cell r="A844" t="str">
            <v>40085048</v>
          </cell>
          <cell r="B844" t="str">
            <v>OUTSIDE TRAIN SES-ANESTH</v>
          </cell>
          <cell r="C844">
            <v>3101.33</v>
          </cell>
        </row>
        <row r="845">
          <cell r="A845" t="str">
            <v>40085049</v>
          </cell>
          <cell r="B845" t="str">
            <v>OUTSIDE TRAIN SES-PHY THPY</v>
          </cell>
          <cell r="C845">
            <v>3739.41</v>
          </cell>
        </row>
        <row r="846">
          <cell r="A846" t="str">
            <v>40085050</v>
          </cell>
          <cell r="B846" t="str">
            <v>OUTSIDE TRAIN SES-RESP THPY</v>
          </cell>
          <cell r="C846">
            <v>1064</v>
          </cell>
        </row>
        <row r="847">
          <cell r="A847" t="str">
            <v>40085055</v>
          </cell>
          <cell r="B847" t="str">
            <v>OUTSIDE TRAINING</v>
          </cell>
          <cell r="C847">
            <v>2682</v>
          </cell>
        </row>
        <row r="848">
          <cell r="A848" t="str">
            <v>40085060</v>
          </cell>
          <cell r="B848" t="str">
            <v>OUTSIDE TRAIN SES-ADM AND GEN</v>
          </cell>
          <cell r="C848">
            <v>4962.04</v>
          </cell>
        </row>
        <row r="849">
          <cell r="A849" t="str">
            <v>40085062</v>
          </cell>
          <cell r="B849" t="str">
            <v>OUTSIDE TRAIN SES-QUALITY ASSR</v>
          </cell>
          <cell r="C849">
            <v>502.64</v>
          </cell>
        </row>
        <row r="850">
          <cell r="A850" t="str">
            <v>40085073</v>
          </cell>
          <cell r="B850" t="str">
            <v>OUTSIDE TRAINING-SPFLD DAYCARE</v>
          </cell>
          <cell r="C850">
            <v>439.75</v>
          </cell>
        </row>
        <row r="851">
          <cell r="A851" t="str">
            <v>40085076</v>
          </cell>
          <cell r="B851" t="str">
            <v>OUTSIDE TRAIN SES-ED/HOSP WIDE</v>
          </cell>
          <cell r="C851">
            <v>2200</v>
          </cell>
        </row>
        <row r="852">
          <cell r="A852" t="str">
            <v>40085080</v>
          </cell>
          <cell r="B852" t="str">
            <v>OUTSIDE TRAIN SES-DIETARY SER</v>
          </cell>
          <cell r="C852">
            <v>919.19</v>
          </cell>
        </row>
        <row r="853">
          <cell r="A853" t="str">
            <v>40085083</v>
          </cell>
          <cell r="B853" t="str">
            <v>OUTSIDE TRAIN SES-PLANT MAINT</v>
          </cell>
          <cell r="C853">
            <v>313</v>
          </cell>
        </row>
        <row r="854">
          <cell r="A854" t="str">
            <v>40085084</v>
          </cell>
          <cell r="B854" t="str">
            <v>OUTSIDE TRAINING/SEM-RMH-P.T.</v>
          </cell>
          <cell r="C854">
            <v>496</v>
          </cell>
        </row>
        <row r="855">
          <cell r="A855" t="str">
            <v>40085085</v>
          </cell>
          <cell r="B855" t="str">
            <v>OUTSIDE TRAIN SES-HSKP SERVICE</v>
          </cell>
          <cell r="C855">
            <v>20.81</v>
          </cell>
        </row>
        <row r="856">
          <cell r="A856" t="str">
            <v>40085090</v>
          </cell>
          <cell r="B856" t="str">
            <v>OUTSIDE TRAIN SES-PATIENT ACCT</v>
          </cell>
          <cell r="C856">
            <v>430</v>
          </cell>
        </row>
        <row r="857">
          <cell r="A857" t="str">
            <v>40085092</v>
          </cell>
          <cell r="B857" t="str">
            <v>OUTSIDE TRAIN SES-GEN ACCT</v>
          </cell>
          <cell r="C857">
            <v>1109</v>
          </cell>
        </row>
        <row r="858">
          <cell r="A858" t="str">
            <v>40085095</v>
          </cell>
          <cell r="B858" t="str">
            <v>OUTSIDE TRAIN SVS-CORP COMPLN</v>
          </cell>
          <cell r="C858">
            <v>398</v>
          </cell>
        </row>
        <row r="859">
          <cell r="A859" t="str">
            <v>40085096</v>
          </cell>
          <cell r="B859" t="str">
            <v>OUTSIDE TRAINING- HOSPITALISTS</v>
          </cell>
          <cell r="C859">
            <v>2145.42</v>
          </cell>
        </row>
        <row r="860">
          <cell r="A860" t="str">
            <v>40085098</v>
          </cell>
          <cell r="B860" t="str">
            <v>OUTSIDE TRAIN SES-MED STAFF</v>
          </cell>
          <cell r="C860">
            <v>2252</v>
          </cell>
        </row>
        <row r="861">
          <cell r="A861" t="str">
            <v>40086008</v>
          </cell>
          <cell r="B861" t="str">
            <v>TRAVEL OTHER-PAT CARE SVCS</v>
          </cell>
          <cell r="C861">
            <v>452.99</v>
          </cell>
        </row>
        <row r="862">
          <cell r="A862" t="str">
            <v>40086009</v>
          </cell>
          <cell r="B862" t="str">
            <v>TRAVEL/MILEAGE-MED/SURG</v>
          </cell>
          <cell r="C862">
            <v>64.760000000000005</v>
          </cell>
        </row>
        <row r="863">
          <cell r="A863" t="str">
            <v>40086013</v>
          </cell>
          <cell r="B863" t="str">
            <v>TRAVEL/MILEAGE-CHILDBIRTH</v>
          </cell>
          <cell r="C863">
            <v>1318.68</v>
          </cell>
        </row>
        <row r="864">
          <cell r="A864" t="str">
            <v>40086015</v>
          </cell>
          <cell r="B864" t="str">
            <v>TRAVE/MILEAGE - ENT</v>
          </cell>
          <cell r="C864">
            <v>93.93</v>
          </cell>
        </row>
        <row r="865">
          <cell r="A865" t="str">
            <v>40086017</v>
          </cell>
          <cell r="B865" t="str">
            <v>TRAVEL/MILEAGE-CVOSM</v>
          </cell>
          <cell r="C865">
            <v>82.82</v>
          </cell>
        </row>
        <row r="866">
          <cell r="A866" t="str">
            <v>40086018</v>
          </cell>
          <cell r="B866" t="str">
            <v>TRAVEL/MILEAGE-WINDHAM</v>
          </cell>
          <cell r="C866">
            <v>1104.28</v>
          </cell>
        </row>
        <row r="867">
          <cell r="A867" t="str">
            <v>40086020</v>
          </cell>
          <cell r="B867" t="str">
            <v>MILEAGE/MAMMO</v>
          </cell>
          <cell r="C867">
            <v>163.63</v>
          </cell>
        </row>
        <row r="868">
          <cell r="A868" t="str">
            <v>40086023</v>
          </cell>
          <cell r="B868" t="str">
            <v>TRAVEL OTHER-EMERGENCY</v>
          </cell>
          <cell r="C868">
            <v>536.80999999999995</v>
          </cell>
        </row>
        <row r="869">
          <cell r="A869" t="str">
            <v>40086029</v>
          </cell>
          <cell r="B869" t="str">
            <v>TRAVEL OTHER-SPEC. SERVICES</v>
          </cell>
          <cell r="C869">
            <v>127.75</v>
          </cell>
        </row>
        <row r="870">
          <cell r="A870" t="str">
            <v>40086040</v>
          </cell>
          <cell r="B870" t="str">
            <v>TRAVEL OTHER-ULTRASOUND</v>
          </cell>
          <cell r="C870">
            <v>454.5</v>
          </cell>
        </row>
        <row r="871">
          <cell r="A871" t="str">
            <v>40086041</v>
          </cell>
          <cell r="B871" t="str">
            <v>TRAVEL OTHER-LAB-CLIN</v>
          </cell>
          <cell r="C871">
            <v>1312.38</v>
          </cell>
        </row>
        <row r="872">
          <cell r="A872" t="str">
            <v>40086044</v>
          </cell>
          <cell r="B872" t="str">
            <v>TRAVEL OTHER-RADIOLOGY</v>
          </cell>
          <cell r="C872">
            <v>195.94</v>
          </cell>
        </row>
        <row r="873">
          <cell r="A873" t="str">
            <v>40086047</v>
          </cell>
          <cell r="B873" t="str">
            <v>TRAVEL OTHER-PHARMACY</v>
          </cell>
          <cell r="C873">
            <v>523.08000000000004</v>
          </cell>
        </row>
        <row r="874">
          <cell r="A874" t="str">
            <v>40086048</v>
          </cell>
          <cell r="B874" t="str">
            <v>TRAVEL OTHER-ANESTHESIOLOGY</v>
          </cell>
          <cell r="C874">
            <v>118.81</v>
          </cell>
        </row>
        <row r="875">
          <cell r="A875" t="str">
            <v>40086060</v>
          </cell>
          <cell r="B875" t="str">
            <v>TRAVEL OTHER-ADM AND GENERAL</v>
          </cell>
          <cell r="C875">
            <v>605.41</v>
          </cell>
        </row>
        <row r="876">
          <cell r="A876" t="str">
            <v>40086061</v>
          </cell>
          <cell r="B876" t="str">
            <v>TRAVEL OTHER-PERSONNEL</v>
          </cell>
          <cell r="C876">
            <v>298.95999999999998</v>
          </cell>
        </row>
        <row r="877">
          <cell r="A877" t="str">
            <v>40086064</v>
          </cell>
          <cell r="B877" t="str">
            <v>TRAVEL OTHER PUR &amp; STORE</v>
          </cell>
          <cell r="C877">
            <v>363.6</v>
          </cell>
        </row>
        <row r="878">
          <cell r="A878" t="str">
            <v>40086073</v>
          </cell>
          <cell r="B878" t="str">
            <v>TRAVEL - SPFLD ADULT DAYCARE</v>
          </cell>
          <cell r="C878">
            <v>20927.419999999998</v>
          </cell>
        </row>
        <row r="879">
          <cell r="A879" t="str">
            <v>40086076</v>
          </cell>
          <cell r="B879" t="str">
            <v>TRAVEL-OTHER-ED. HOSP. WIDE</v>
          </cell>
          <cell r="C879">
            <v>40.4</v>
          </cell>
        </row>
        <row r="880">
          <cell r="A880" t="str">
            <v>40086080</v>
          </cell>
          <cell r="B880" t="str">
            <v>TRAVEL OTHER-DIETARY SERVICES</v>
          </cell>
          <cell r="C880">
            <v>100.09</v>
          </cell>
        </row>
        <row r="881">
          <cell r="A881" t="str">
            <v>40086083</v>
          </cell>
          <cell r="B881" t="str">
            <v>TRAVEL OTHER-PLANT MAINTENANCE</v>
          </cell>
          <cell r="C881">
            <v>4075.2</v>
          </cell>
        </row>
        <row r="882">
          <cell r="A882" t="str">
            <v>40086090</v>
          </cell>
          <cell r="B882" t="str">
            <v>TRAVEL OTHER-PATIENT ACCT</v>
          </cell>
          <cell r="C882">
            <v>34.340000000000003</v>
          </cell>
        </row>
        <row r="883">
          <cell r="A883" t="str">
            <v>40086091</v>
          </cell>
          <cell r="B883" t="str">
            <v>TRAVEL OTHER-DATA PROCESSING</v>
          </cell>
          <cell r="C883">
            <v>24.24</v>
          </cell>
        </row>
        <row r="884">
          <cell r="A884" t="str">
            <v>40086092</v>
          </cell>
          <cell r="B884" t="str">
            <v>TRAVEL OTHER- GENERAL ACCT</v>
          </cell>
          <cell r="C884">
            <v>116.15</v>
          </cell>
        </row>
        <row r="885">
          <cell r="A885" t="str">
            <v>40087009</v>
          </cell>
          <cell r="B885" t="str">
            <v>POSTAGE/FREIGHT-MED SURG</v>
          </cell>
          <cell r="C885">
            <v>1184.0899999999999</v>
          </cell>
        </row>
        <row r="886">
          <cell r="A886" t="str">
            <v>40087013</v>
          </cell>
          <cell r="B886" t="str">
            <v>POSTAGE/FREIGHT-CHILDBIRTH</v>
          </cell>
          <cell r="C886">
            <v>1474.74</v>
          </cell>
        </row>
        <row r="887">
          <cell r="A887" t="str">
            <v>40087015</v>
          </cell>
          <cell r="B887" t="str">
            <v>POSTAGE/FREIGHT - ENT</v>
          </cell>
          <cell r="C887">
            <v>1414.2</v>
          </cell>
        </row>
        <row r="888">
          <cell r="A888" t="str">
            <v>40087017</v>
          </cell>
          <cell r="B888" t="str">
            <v>POSTAGE/FREIGHT-CVOSM</v>
          </cell>
          <cell r="C888">
            <v>2947.61</v>
          </cell>
        </row>
        <row r="889">
          <cell r="A889" t="str">
            <v>40087018</v>
          </cell>
          <cell r="B889" t="str">
            <v>POSTAGE/FREIGHT-WINDHAM</v>
          </cell>
          <cell r="C889">
            <v>436.14</v>
          </cell>
        </row>
        <row r="890">
          <cell r="A890" t="str">
            <v>40087019</v>
          </cell>
          <cell r="B890" t="str">
            <v>POSTAGE/FREIGHT-PULM REHAB</v>
          </cell>
          <cell r="C890">
            <v>44.33</v>
          </cell>
        </row>
        <row r="891">
          <cell r="A891" t="str">
            <v>40087020</v>
          </cell>
          <cell r="B891" t="str">
            <v>FREIGHT - MAMMOGRAPHY</v>
          </cell>
          <cell r="C891">
            <v>395.99</v>
          </cell>
        </row>
        <row r="892">
          <cell r="A892" t="str">
            <v>40087021</v>
          </cell>
          <cell r="B892" t="str">
            <v>POSTAGE/FREIGHT-OR</v>
          </cell>
          <cell r="C892">
            <v>27749.919999999998</v>
          </cell>
        </row>
        <row r="893">
          <cell r="A893" t="str">
            <v>40087022</v>
          </cell>
          <cell r="B893" t="str">
            <v>POSTAGE/FREIGHT-RECOVERY</v>
          </cell>
          <cell r="C893">
            <v>45.17</v>
          </cell>
        </row>
        <row r="894">
          <cell r="A894" t="str">
            <v>40087023</v>
          </cell>
          <cell r="B894" t="str">
            <v>POSTAGE/FREIGHT-ER</v>
          </cell>
          <cell r="C894">
            <v>3569.63</v>
          </cell>
        </row>
        <row r="895">
          <cell r="A895" t="str">
            <v>40087024</v>
          </cell>
          <cell r="B895" t="str">
            <v>POSTAGE/FREIGHT-ODS</v>
          </cell>
          <cell r="C895">
            <v>48.2</v>
          </cell>
        </row>
        <row r="896">
          <cell r="A896" t="str">
            <v>40087027</v>
          </cell>
          <cell r="B896" t="str">
            <v>POSTAGE/FREIGHT</v>
          </cell>
          <cell r="C896">
            <v>43.96</v>
          </cell>
        </row>
        <row r="897">
          <cell r="A897" t="str">
            <v>40087028</v>
          </cell>
          <cell r="B897" t="str">
            <v>POSTAGE/FREIGHT</v>
          </cell>
          <cell r="C897">
            <v>2380.25</v>
          </cell>
        </row>
        <row r="898">
          <cell r="A898" t="str">
            <v>40087029</v>
          </cell>
          <cell r="B898" t="str">
            <v>POSTAGE/FREIGHT</v>
          </cell>
          <cell r="C898">
            <v>486.56</v>
          </cell>
        </row>
        <row r="899">
          <cell r="A899" t="str">
            <v>40087036</v>
          </cell>
          <cell r="B899" t="str">
            <v>FREIGHT - MRI DEPARTMENT</v>
          </cell>
          <cell r="C899">
            <v>12.84</v>
          </cell>
        </row>
        <row r="900">
          <cell r="A900" t="str">
            <v>40087037</v>
          </cell>
          <cell r="B900" t="str">
            <v>FREIGHT/POSTAGE-SURGICAL</v>
          </cell>
          <cell r="C900">
            <v>2263.86</v>
          </cell>
        </row>
        <row r="901">
          <cell r="A901" t="str">
            <v>40087040</v>
          </cell>
          <cell r="B901" t="str">
            <v>POSTAGE/FREIGHT</v>
          </cell>
          <cell r="C901">
            <v>313.94</v>
          </cell>
        </row>
        <row r="902">
          <cell r="A902" t="str">
            <v>40087041</v>
          </cell>
          <cell r="B902" t="str">
            <v>POSTAGE/FREIGHT</v>
          </cell>
          <cell r="C902">
            <v>15989.5</v>
          </cell>
        </row>
        <row r="903">
          <cell r="A903" t="str">
            <v>40087042</v>
          </cell>
          <cell r="B903" t="str">
            <v>POSTAGE/FREIGHT</v>
          </cell>
          <cell r="C903">
            <v>19.22</v>
          </cell>
        </row>
        <row r="904">
          <cell r="A904" t="str">
            <v>40087044</v>
          </cell>
          <cell r="B904" t="str">
            <v>POSTAGE/FREIGHT-XRAY</v>
          </cell>
          <cell r="C904">
            <v>1398.04</v>
          </cell>
        </row>
        <row r="905">
          <cell r="A905" t="str">
            <v>40087045</v>
          </cell>
          <cell r="B905" t="str">
            <v>POSTAGE/FREIGHT-CAT SCAN</v>
          </cell>
          <cell r="C905">
            <v>2094.4699999999998</v>
          </cell>
        </row>
        <row r="906">
          <cell r="A906" t="str">
            <v>40087046</v>
          </cell>
          <cell r="B906" t="str">
            <v>POSTAGE/FREIGHT</v>
          </cell>
          <cell r="C906">
            <v>17.260000000000002</v>
          </cell>
        </row>
        <row r="907">
          <cell r="A907" t="str">
            <v>40087047</v>
          </cell>
          <cell r="B907" t="str">
            <v>POSTAGE/FREIGHT-PHARMACY</v>
          </cell>
          <cell r="C907">
            <v>1549.71</v>
          </cell>
        </row>
        <row r="908">
          <cell r="A908" t="str">
            <v>40087048</v>
          </cell>
          <cell r="B908" t="str">
            <v>POSTAGE/FREIGHT</v>
          </cell>
          <cell r="C908">
            <v>547.53</v>
          </cell>
        </row>
        <row r="909">
          <cell r="A909" t="str">
            <v>40087049</v>
          </cell>
          <cell r="B909" t="str">
            <v>POSTAGE/FREIGHT-PT</v>
          </cell>
          <cell r="C909">
            <v>230.09</v>
          </cell>
        </row>
        <row r="910">
          <cell r="A910" t="str">
            <v>40087050</v>
          </cell>
          <cell r="B910" t="str">
            <v>POSTAGE/FREIGHT</v>
          </cell>
          <cell r="C910">
            <v>1268.2</v>
          </cell>
        </row>
        <row r="911">
          <cell r="A911" t="str">
            <v>40087052</v>
          </cell>
          <cell r="B911" t="str">
            <v>POSTAGE/FREIGHT</v>
          </cell>
          <cell r="C911">
            <v>5.5</v>
          </cell>
        </row>
        <row r="912">
          <cell r="A912" t="str">
            <v>40087057</v>
          </cell>
          <cell r="B912" t="str">
            <v>POSTAGE/FREIGHT-MED RECORDS</v>
          </cell>
          <cell r="C912">
            <v>579.01</v>
          </cell>
        </row>
        <row r="913">
          <cell r="A913" t="str">
            <v>40087060</v>
          </cell>
          <cell r="B913" t="str">
            <v>POSTAGE/FREIGHT</v>
          </cell>
          <cell r="C913">
            <v>953.52</v>
          </cell>
        </row>
        <row r="914">
          <cell r="A914" t="str">
            <v>40087061</v>
          </cell>
          <cell r="B914" t="str">
            <v>POSTAGE/FREIGHT</v>
          </cell>
          <cell r="C914">
            <v>59.34</v>
          </cell>
        </row>
        <row r="915">
          <cell r="A915" t="str">
            <v>40087062</v>
          </cell>
          <cell r="B915" t="str">
            <v>POSTAGE/FREIGHT</v>
          </cell>
          <cell r="C915">
            <v>1118.48</v>
          </cell>
        </row>
        <row r="916">
          <cell r="A916" t="str">
            <v>40087064</v>
          </cell>
          <cell r="B916" t="str">
            <v>POSTAGE/FREIGHT-PURCHASING</v>
          </cell>
          <cell r="C916">
            <v>13175.16</v>
          </cell>
        </row>
        <row r="917">
          <cell r="A917" t="str">
            <v>40087065</v>
          </cell>
          <cell r="B917" t="str">
            <v>POSTAGE/FREIGHT</v>
          </cell>
          <cell r="C917">
            <v>469.68</v>
          </cell>
        </row>
        <row r="918">
          <cell r="A918" t="str">
            <v>40087067</v>
          </cell>
          <cell r="B918" t="str">
            <v>POSTAGE/FREIGHT</v>
          </cell>
          <cell r="C918">
            <v>37298.82</v>
          </cell>
        </row>
        <row r="919">
          <cell r="A919" t="str">
            <v>40087073</v>
          </cell>
          <cell r="B919" t="str">
            <v>POSTAGE - SPFLD ADULT DAYCARE</v>
          </cell>
          <cell r="C919">
            <v>604.02</v>
          </cell>
        </row>
        <row r="920">
          <cell r="A920" t="str">
            <v>40087076</v>
          </cell>
          <cell r="B920" t="str">
            <v>POSTAGE/FREIGHT</v>
          </cell>
          <cell r="C920">
            <v>183.58</v>
          </cell>
        </row>
        <row r="921">
          <cell r="A921" t="str">
            <v>40087080</v>
          </cell>
          <cell r="B921" t="str">
            <v>POSTAGE/FREIGHT</v>
          </cell>
          <cell r="C921">
            <v>771.54</v>
          </cell>
        </row>
        <row r="922">
          <cell r="A922" t="str">
            <v>40087083</v>
          </cell>
          <cell r="B922" t="str">
            <v>POSTAGE/FREIGHT-PLANT MAIN.</v>
          </cell>
          <cell r="C922">
            <v>4885.04</v>
          </cell>
        </row>
        <row r="923">
          <cell r="A923" t="str">
            <v>40087084</v>
          </cell>
          <cell r="B923" t="str">
            <v>POSTAGE/FREIGHT-RMH-P.T.</v>
          </cell>
          <cell r="C923">
            <v>16.25</v>
          </cell>
        </row>
        <row r="924">
          <cell r="A924" t="str">
            <v>40087085</v>
          </cell>
          <cell r="B924" t="str">
            <v>POSTAGE/FREIGHT</v>
          </cell>
          <cell r="C924">
            <v>300.51</v>
          </cell>
        </row>
        <row r="925">
          <cell r="A925" t="str">
            <v>40087086</v>
          </cell>
          <cell r="B925" t="str">
            <v>POSTAGE/FREIGHT</v>
          </cell>
          <cell r="C925">
            <v>99.43</v>
          </cell>
        </row>
        <row r="926">
          <cell r="A926" t="str">
            <v>40087089</v>
          </cell>
          <cell r="B926" t="str">
            <v>POSTAGE/FREIGHT</v>
          </cell>
          <cell r="C926">
            <v>60.91</v>
          </cell>
        </row>
        <row r="927">
          <cell r="A927" t="str">
            <v>40087090</v>
          </cell>
          <cell r="B927" t="str">
            <v>POSTAGE/FREIGHT/PFS</v>
          </cell>
          <cell r="C927">
            <v>51.77</v>
          </cell>
        </row>
        <row r="928">
          <cell r="A928" t="str">
            <v>40087091</v>
          </cell>
          <cell r="B928" t="str">
            <v>POSTAGE/FREIGHT-DATA PROC.</v>
          </cell>
          <cell r="C928">
            <v>4253.1899999999996</v>
          </cell>
        </row>
        <row r="929">
          <cell r="A929" t="str">
            <v>40087092</v>
          </cell>
          <cell r="B929" t="str">
            <v>POSTAGE/FREIGHT</v>
          </cell>
          <cell r="C929">
            <v>503.98</v>
          </cell>
        </row>
        <row r="930">
          <cell r="A930" t="str">
            <v>40087097</v>
          </cell>
          <cell r="B930" t="str">
            <v>POSTAGE/FREIGHT</v>
          </cell>
          <cell r="C930">
            <v>32.07</v>
          </cell>
        </row>
        <row r="931">
          <cell r="A931" t="str">
            <v>40087098</v>
          </cell>
          <cell r="B931" t="str">
            <v>POSTAGE/FREIGHT</v>
          </cell>
          <cell r="C931">
            <v>19.149999999999999</v>
          </cell>
        </row>
        <row r="932">
          <cell r="A932" t="str">
            <v>40088065</v>
          </cell>
          <cell r="B932" t="str">
            <v>PRINTING + DUP-PUB REL</v>
          </cell>
          <cell r="C932">
            <v>8957</v>
          </cell>
        </row>
        <row r="933">
          <cell r="A933" t="str">
            <v>40089008</v>
          </cell>
          <cell r="B933" t="str">
            <v>OTHER EXPENSES-PAT CARE SVCS</v>
          </cell>
          <cell r="C933">
            <v>6339.44</v>
          </cell>
        </row>
        <row r="934">
          <cell r="A934" t="str">
            <v>40089009</v>
          </cell>
          <cell r="B934" t="str">
            <v>OTHER EXPENSES- MED/SURG</v>
          </cell>
          <cell r="C934">
            <v>1509.01</v>
          </cell>
        </row>
        <row r="935">
          <cell r="A935" t="str">
            <v>40089013</v>
          </cell>
          <cell r="B935" t="str">
            <v>OTHER EXPENSES-CHILDBIRTH</v>
          </cell>
          <cell r="C935">
            <v>1062.0999999999999</v>
          </cell>
        </row>
        <row r="936">
          <cell r="A936" t="str">
            <v>40089015</v>
          </cell>
          <cell r="B936" t="str">
            <v>OTHER EXPENSES - ENT</v>
          </cell>
          <cell r="C936">
            <v>-164452.18</v>
          </cell>
        </row>
        <row r="937">
          <cell r="A937" t="str">
            <v>40089017</v>
          </cell>
          <cell r="B937" t="str">
            <v>OTHER EXPENSES-CVOSM</v>
          </cell>
          <cell r="C937">
            <v>2155.6999999999998</v>
          </cell>
        </row>
        <row r="938">
          <cell r="A938" t="str">
            <v>40089018</v>
          </cell>
          <cell r="B938" t="str">
            <v>OTHER EXPENSES-WINDHAM</v>
          </cell>
          <cell r="C938">
            <v>3336.65</v>
          </cell>
        </row>
        <row r="939">
          <cell r="A939" t="str">
            <v>40089020</v>
          </cell>
          <cell r="B939" t="str">
            <v>OTHER EXPENSES - MAMMO</v>
          </cell>
          <cell r="C939">
            <v>150.75</v>
          </cell>
        </row>
        <row r="940">
          <cell r="A940" t="str">
            <v>40089021</v>
          </cell>
          <cell r="B940" t="str">
            <v>OTHER EXPENSES - OR</v>
          </cell>
          <cell r="C940">
            <v>255.75</v>
          </cell>
        </row>
        <row r="941">
          <cell r="A941" t="str">
            <v>40089023</v>
          </cell>
          <cell r="B941" t="str">
            <v>OTHER EXPENSES-EMERGENCY SVCS.</v>
          </cell>
          <cell r="C941">
            <v>4978.8900000000003</v>
          </cell>
        </row>
        <row r="942">
          <cell r="A942" t="str">
            <v>40089028</v>
          </cell>
          <cell r="B942" t="str">
            <v>OTHER EXPENSES-SPEC. PROCED.</v>
          </cell>
          <cell r="C942">
            <v>19.75</v>
          </cell>
        </row>
        <row r="943">
          <cell r="A943" t="str">
            <v>40089029</v>
          </cell>
          <cell r="B943" t="str">
            <v>OTHER EXPENSES-SPEC. SERVICES</v>
          </cell>
          <cell r="C943">
            <v>745.38</v>
          </cell>
        </row>
        <row r="944">
          <cell r="A944" t="str">
            <v>40089035</v>
          </cell>
          <cell r="B944" t="str">
            <v>OTHER EXPENSE- EMPLOYEE BEN</v>
          </cell>
          <cell r="C944">
            <v>52508.7</v>
          </cell>
        </row>
        <row r="945">
          <cell r="A945" t="str">
            <v>40089037</v>
          </cell>
          <cell r="B945" t="str">
            <v>OTHER EXPENSES-SURGICAL</v>
          </cell>
          <cell r="C945">
            <v>73.489999999999995</v>
          </cell>
        </row>
        <row r="946">
          <cell r="A946" t="str">
            <v>40089039</v>
          </cell>
          <cell r="B946" t="str">
            <v>OTHER EXPENSE- SEC- SITTING</v>
          </cell>
          <cell r="C946">
            <v>6793.4</v>
          </cell>
        </row>
        <row r="947">
          <cell r="A947" t="str">
            <v>40089040</v>
          </cell>
          <cell r="B947" t="str">
            <v>OTHER EXPENSES-ULTRASOUND</v>
          </cell>
          <cell r="C947">
            <v>612.5</v>
          </cell>
        </row>
        <row r="948">
          <cell r="A948" t="str">
            <v>40089041</v>
          </cell>
          <cell r="B948" t="str">
            <v>OTHER EXPENSES-LAB-CLIN</v>
          </cell>
          <cell r="C948">
            <v>1755.53</v>
          </cell>
        </row>
        <row r="949">
          <cell r="A949" t="str">
            <v>40089044</v>
          </cell>
          <cell r="B949" t="str">
            <v>OTHER EXPENSES-RADIOLOGY</v>
          </cell>
          <cell r="C949">
            <v>883.03</v>
          </cell>
        </row>
        <row r="950">
          <cell r="A950" t="str">
            <v>40089047</v>
          </cell>
          <cell r="B950" t="str">
            <v>OTHER EXPENSES - PHARMACY</v>
          </cell>
          <cell r="C950">
            <v>246.18</v>
          </cell>
        </row>
        <row r="951">
          <cell r="A951" t="str">
            <v>40089048</v>
          </cell>
          <cell r="B951" t="str">
            <v>OTHER EXPENSES-ANESTH</v>
          </cell>
          <cell r="C951">
            <v>3041.21</v>
          </cell>
        </row>
        <row r="952">
          <cell r="A952" t="str">
            <v>40089049</v>
          </cell>
          <cell r="B952" t="str">
            <v>OTHER EXPENSES-PHY THERAPY</v>
          </cell>
          <cell r="C952">
            <v>0</v>
          </cell>
        </row>
        <row r="953">
          <cell r="A953" t="str">
            <v>40089052</v>
          </cell>
          <cell r="B953" t="str">
            <v>OTHER EXPENSES-OCCP THERAPY</v>
          </cell>
          <cell r="C953">
            <v>6</v>
          </cell>
        </row>
        <row r="954">
          <cell r="A954" t="str">
            <v>40089057</v>
          </cell>
          <cell r="B954" t="str">
            <v>OTHER EXPENSES--MEDICAL REC</v>
          </cell>
          <cell r="C954">
            <v>34.9</v>
          </cell>
        </row>
        <row r="955">
          <cell r="A955" t="str">
            <v>40089059</v>
          </cell>
          <cell r="B955" t="str">
            <v>OTHER EXPENSES-DIASTER</v>
          </cell>
          <cell r="C955">
            <v>1583.02</v>
          </cell>
        </row>
        <row r="956">
          <cell r="A956" t="str">
            <v>40089060</v>
          </cell>
          <cell r="B956" t="str">
            <v>OTHER EXPENSES-ADM AND GENERAL</v>
          </cell>
          <cell r="C956">
            <v>128450.87</v>
          </cell>
        </row>
        <row r="957">
          <cell r="A957" t="str">
            <v>40089061</v>
          </cell>
          <cell r="B957" t="str">
            <v>OTHER EXPENSES-PERSONNEL</v>
          </cell>
          <cell r="C957">
            <v>449</v>
          </cell>
        </row>
        <row r="958">
          <cell r="A958" t="str">
            <v>40089062</v>
          </cell>
          <cell r="B958" t="str">
            <v>OTHER EXPENSES-QUALITY ASSUR.</v>
          </cell>
          <cell r="C958">
            <v>126.83</v>
          </cell>
        </row>
        <row r="959">
          <cell r="A959" t="str">
            <v>40089063</v>
          </cell>
          <cell r="B959" t="str">
            <v>OTHER EXPENSES-COMMUNICATIONS</v>
          </cell>
          <cell r="C959">
            <v>96.63</v>
          </cell>
        </row>
        <row r="960">
          <cell r="A960" t="str">
            <v>40089064</v>
          </cell>
          <cell r="B960" t="str">
            <v>OTHER EXPENSES PUR &amp; STORE</v>
          </cell>
          <cell r="C960">
            <v>8227.09</v>
          </cell>
        </row>
        <row r="961">
          <cell r="A961" t="str">
            <v>40089065</v>
          </cell>
          <cell r="B961" t="str">
            <v>OTHER EXPENSES-PUB REL</v>
          </cell>
          <cell r="C961">
            <v>5207.62</v>
          </cell>
        </row>
        <row r="962">
          <cell r="A962" t="str">
            <v>40089068</v>
          </cell>
          <cell r="B962" t="str">
            <v>OTHER EXPENSES-PRINTING</v>
          </cell>
          <cell r="C962">
            <v>84.68</v>
          </cell>
        </row>
        <row r="963">
          <cell r="A963" t="str">
            <v>40089069</v>
          </cell>
          <cell r="B963" t="str">
            <v>OTHER EXP- PRACTICE OPERATIONS</v>
          </cell>
          <cell r="C963">
            <v>494.82</v>
          </cell>
        </row>
        <row r="964">
          <cell r="A964" t="str">
            <v>40089073</v>
          </cell>
          <cell r="B964" t="str">
            <v>OTHER EXPENSE-SPFLD DAYCARE</v>
          </cell>
          <cell r="C964">
            <v>5855.24</v>
          </cell>
        </row>
        <row r="965">
          <cell r="A965" t="str">
            <v>40089076</v>
          </cell>
          <cell r="B965" t="str">
            <v>OTHER EXPENSES-ED/HOSP WIDE</v>
          </cell>
          <cell r="C965">
            <v>820.59</v>
          </cell>
        </row>
        <row r="966">
          <cell r="A966" t="str">
            <v>40089080</v>
          </cell>
          <cell r="B966" t="str">
            <v>OTHER EXPENSES-DIETARY EXPENSE</v>
          </cell>
          <cell r="C966">
            <v>470.47</v>
          </cell>
        </row>
        <row r="967">
          <cell r="A967" t="str">
            <v>40089083</v>
          </cell>
          <cell r="B967" t="str">
            <v>OTHER EXPENSES-PLANT MAINT</v>
          </cell>
          <cell r="C967">
            <v>105945.96</v>
          </cell>
        </row>
        <row r="968">
          <cell r="A968" t="str">
            <v>40089084</v>
          </cell>
          <cell r="B968" t="str">
            <v>OTHER PURCHASED SERV - PT RMH</v>
          </cell>
          <cell r="C968">
            <v>43.94</v>
          </cell>
        </row>
        <row r="969">
          <cell r="A969" t="str">
            <v>40089090</v>
          </cell>
          <cell r="B969" t="str">
            <v>OTHER EXPENSES-PATIENT ACCT</v>
          </cell>
          <cell r="C969">
            <v>2593.02</v>
          </cell>
        </row>
        <row r="970">
          <cell r="A970" t="str">
            <v>40089092</v>
          </cell>
          <cell r="B970" t="str">
            <v>OTHER EXPENSES-GENERAL ACCT</v>
          </cell>
          <cell r="C970">
            <v>30971.49</v>
          </cell>
        </row>
        <row r="971">
          <cell r="A971" t="str">
            <v>40089095</v>
          </cell>
          <cell r="B971" t="str">
            <v>OTHER EXPENSES-CORP COMPLIANCE</v>
          </cell>
          <cell r="C971">
            <v>441.88</v>
          </cell>
        </row>
        <row r="972">
          <cell r="A972" t="str">
            <v>40089096</v>
          </cell>
          <cell r="B972" t="str">
            <v>OTHER EXPENSE-HOSPITALIST</v>
          </cell>
          <cell r="C972">
            <v>4134.3100000000004</v>
          </cell>
        </row>
        <row r="973">
          <cell r="A973" t="str">
            <v>40089097</v>
          </cell>
          <cell r="B973" t="str">
            <v>OTHER EXPENSES-AUXILIARY GROUP</v>
          </cell>
          <cell r="C973">
            <v>691.58</v>
          </cell>
        </row>
        <row r="974">
          <cell r="A974" t="str">
            <v>40089098</v>
          </cell>
          <cell r="B974" t="str">
            <v>OTHER EXPENSES-MEDICAL STAFF</v>
          </cell>
          <cell r="C974">
            <v>1181.56</v>
          </cell>
        </row>
        <row r="975">
          <cell r="A975" t="str">
            <v>40090030</v>
          </cell>
          <cell r="B975" t="str">
            <v>AMORTIZ OF BOND ISS/LOC COSTS</v>
          </cell>
          <cell r="C975">
            <v>4550</v>
          </cell>
        </row>
        <row r="976">
          <cell r="A976" t="str">
            <v>40091030</v>
          </cell>
          <cell r="B976" t="str">
            <v>BUILDING-DEPRECIATION</v>
          </cell>
          <cell r="C976">
            <v>508391.2</v>
          </cell>
        </row>
        <row r="977">
          <cell r="A977" t="str">
            <v>40091075</v>
          </cell>
          <cell r="B977" t="str">
            <v>DEPRECIATION-BLDG-RMH</v>
          </cell>
          <cell r="C977">
            <v>14087.47</v>
          </cell>
        </row>
        <row r="978">
          <cell r="A978" t="str">
            <v>40092030</v>
          </cell>
          <cell r="B978" t="str">
            <v>FIXED EQUIPMENT-DEPRECIATION</v>
          </cell>
          <cell r="C978">
            <v>175741.16</v>
          </cell>
        </row>
        <row r="979">
          <cell r="A979" t="str">
            <v>40092075</v>
          </cell>
          <cell r="B979" t="str">
            <v>DEPRECIATION-FIXED EQUIP-RMH</v>
          </cell>
          <cell r="C979">
            <v>3516.55</v>
          </cell>
        </row>
        <row r="980">
          <cell r="A980" t="str">
            <v>40093030</v>
          </cell>
          <cell r="B980" t="str">
            <v>MAJOR MOVABLE EQUIP.-DEPR</v>
          </cell>
          <cell r="C980">
            <v>1633907.37</v>
          </cell>
        </row>
        <row r="981">
          <cell r="A981" t="str">
            <v>40093075</v>
          </cell>
          <cell r="B981" t="str">
            <v>DEPRECIATION-MAJOR MOVBL-RMH</v>
          </cell>
          <cell r="C981">
            <v>9027.83</v>
          </cell>
        </row>
        <row r="982">
          <cell r="A982" t="str">
            <v>40094030</v>
          </cell>
          <cell r="B982" t="str">
            <v>LAND IMPROVEMENTS-DEPRECIATION</v>
          </cell>
          <cell r="C982">
            <v>73199.509999999995</v>
          </cell>
        </row>
        <row r="983">
          <cell r="A983" t="str">
            <v>40094075</v>
          </cell>
          <cell r="B983" t="str">
            <v>DEPRECIATION-L/H IMPROVMT-RMH</v>
          </cell>
          <cell r="C983">
            <v>3634.02</v>
          </cell>
        </row>
        <row r="984">
          <cell r="A984" t="str">
            <v>40095015</v>
          </cell>
          <cell r="B984" t="str">
            <v>LEASE/RENTALS BLDGS - ENT</v>
          </cell>
          <cell r="C984">
            <v>36477.14</v>
          </cell>
        </row>
        <row r="985">
          <cell r="A985" t="str">
            <v>40095017</v>
          </cell>
          <cell r="B985" t="str">
            <v>LEASE/RENTALS/BLDGS</v>
          </cell>
          <cell r="C985">
            <v>36400</v>
          </cell>
        </row>
        <row r="986">
          <cell r="A986" t="str">
            <v>40095018</v>
          </cell>
          <cell r="B986" t="str">
            <v>RENT/LEASE BLDG-RMH-PSYCH</v>
          </cell>
          <cell r="C986">
            <v>56000</v>
          </cell>
        </row>
        <row r="987">
          <cell r="A987" t="str">
            <v>40095037</v>
          </cell>
          <cell r="B987" t="str">
            <v>LEASE/RENTALS BLDGS</v>
          </cell>
          <cell r="C987">
            <v>19600</v>
          </cell>
        </row>
        <row r="988">
          <cell r="A988" t="str">
            <v>40095041</v>
          </cell>
          <cell r="B988" t="str">
            <v>LEASE/RENTALS BLDG.-LAB-CLIN</v>
          </cell>
          <cell r="C988">
            <v>15157.68</v>
          </cell>
        </row>
        <row r="989">
          <cell r="A989" t="str">
            <v>40095049</v>
          </cell>
          <cell r="B989" t="str">
            <v>LEASE/RENTALS BLDGS-PHY THPY</v>
          </cell>
          <cell r="C989">
            <v>79547.64</v>
          </cell>
        </row>
        <row r="990">
          <cell r="A990" t="str">
            <v>40095055</v>
          </cell>
          <cell r="B990" t="str">
            <v>LEASE/RENT BLDG-CODING</v>
          </cell>
          <cell r="C990">
            <v>17192</v>
          </cell>
        </row>
        <row r="991">
          <cell r="A991" t="str">
            <v>40095060</v>
          </cell>
          <cell r="B991" t="str">
            <v>LEASE/RENTALS BLDS-ADM AND GEN</v>
          </cell>
          <cell r="C991">
            <v>1704.15</v>
          </cell>
        </row>
        <row r="992">
          <cell r="A992" t="str">
            <v>40095069</v>
          </cell>
          <cell r="B992" t="str">
            <v>LEASE/RENTALS BLDGS - GOVN BD</v>
          </cell>
          <cell r="C992">
            <v>-2769.24</v>
          </cell>
        </row>
        <row r="993">
          <cell r="A993" t="str">
            <v>40095072</v>
          </cell>
          <cell r="B993" t="str">
            <v>LEASE/RENTAL BLDGS-MED. RECORD</v>
          </cell>
          <cell r="C993">
            <v>7000</v>
          </cell>
        </row>
        <row r="994">
          <cell r="A994" t="str">
            <v>40095073</v>
          </cell>
          <cell r="B994" t="str">
            <v>LEASE/RENT BLDGS-SPFLD ADULT</v>
          </cell>
          <cell r="C994">
            <v>98114.06</v>
          </cell>
        </row>
        <row r="995">
          <cell r="A995" t="str">
            <v>40095083</v>
          </cell>
          <cell r="B995" t="str">
            <v>LEASE/RENTALS BLDGS-PLANT MAIN</v>
          </cell>
          <cell r="C995">
            <v>10210</v>
          </cell>
        </row>
        <row r="996">
          <cell r="A996" t="str">
            <v>40095084</v>
          </cell>
          <cell r="B996" t="str">
            <v>RENT/LEASE BLDG-RMH-P.T.</v>
          </cell>
          <cell r="C996">
            <v>10500</v>
          </cell>
        </row>
        <row r="997">
          <cell r="A997" t="str">
            <v>40095090</v>
          </cell>
          <cell r="B997" t="str">
            <v>LEASE/RENTAL BLDG-PATIENT ACCT</v>
          </cell>
          <cell r="C997">
            <v>10643.23</v>
          </cell>
        </row>
        <row r="998">
          <cell r="A998" t="str">
            <v>40096009</v>
          </cell>
          <cell r="B998" t="str">
            <v>LEASE/RENTALS EQUIP-MED/SURG I</v>
          </cell>
          <cell r="C998">
            <v>46531.97</v>
          </cell>
        </row>
        <row r="999">
          <cell r="A999" t="str">
            <v>40096013</v>
          </cell>
          <cell r="B999" t="str">
            <v>LEASE/RENTALS/EQUIP-CHILDBIRTH</v>
          </cell>
          <cell r="C999">
            <v>10002.15</v>
          </cell>
        </row>
        <row r="1000">
          <cell r="A1000" t="str">
            <v>40096015</v>
          </cell>
          <cell r="B1000" t="str">
            <v>LEASE/RENTAL EQUIP - ENT</v>
          </cell>
          <cell r="C1000">
            <v>2413.06</v>
          </cell>
        </row>
        <row r="1001">
          <cell r="A1001" t="str">
            <v>40096017</v>
          </cell>
          <cell r="B1001" t="str">
            <v>LEASE/RENTALS EQUIP</v>
          </cell>
          <cell r="C1001">
            <v>16409.18</v>
          </cell>
        </row>
        <row r="1002">
          <cell r="A1002" t="str">
            <v>40096018</v>
          </cell>
          <cell r="B1002" t="str">
            <v>RENT/LEASE EQUIP-RMH-PSYCH</v>
          </cell>
          <cell r="C1002">
            <v>19552.55</v>
          </cell>
        </row>
        <row r="1003">
          <cell r="A1003" t="str">
            <v>40096019</v>
          </cell>
          <cell r="B1003" t="str">
            <v>LEASE/RENTALS EQUIP-PULM REHAB</v>
          </cell>
          <cell r="C1003">
            <v>97.3</v>
          </cell>
        </row>
        <row r="1004">
          <cell r="A1004" t="str">
            <v>40096021</v>
          </cell>
          <cell r="B1004" t="str">
            <v>LEASE/RENTALS EQUIP - OR</v>
          </cell>
          <cell r="C1004">
            <v>19078.59</v>
          </cell>
        </row>
        <row r="1005">
          <cell r="A1005" t="str">
            <v>40096022</v>
          </cell>
          <cell r="B1005" t="str">
            <v>LEASE/RENTALS EQUIP-RECOVERY</v>
          </cell>
          <cell r="C1005">
            <v>5137.8</v>
          </cell>
        </row>
        <row r="1006">
          <cell r="A1006" t="str">
            <v>40096023</v>
          </cell>
          <cell r="B1006" t="str">
            <v>LEASE/RENTALS EQUIP-EMERG. SVC</v>
          </cell>
          <cell r="C1006">
            <v>29214.2</v>
          </cell>
        </row>
        <row r="1007">
          <cell r="A1007" t="str">
            <v>40096024</v>
          </cell>
          <cell r="B1007" t="str">
            <v>LEASE/RENTALS EQUIP-1DAY SURGY</v>
          </cell>
          <cell r="C1007">
            <v>2749.3</v>
          </cell>
        </row>
        <row r="1008">
          <cell r="A1008" t="str">
            <v>40096028</v>
          </cell>
          <cell r="B1008" t="str">
            <v>LEASE/RENTALS EQUIP-SPEC.PROC.</v>
          </cell>
          <cell r="C1008">
            <v>68702.36</v>
          </cell>
        </row>
        <row r="1009">
          <cell r="A1009" t="str">
            <v>40096029</v>
          </cell>
          <cell r="B1009" t="str">
            <v>LEASE/RENTAL EQUIP-SP SERVICES</v>
          </cell>
          <cell r="C1009">
            <v>5939.71</v>
          </cell>
        </row>
        <row r="1010">
          <cell r="A1010" t="str">
            <v>40096037</v>
          </cell>
          <cell r="B1010" t="str">
            <v>LEASE/RENTAL EQUIP/SURGICAL</v>
          </cell>
          <cell r="C1010">
            <v>1391.94</v>
          </cell>
        </row>
        <row r="1011">
          <cell r="A1011" t="str">
            <v>40096040</v>
          </cell>
          <cell r="B1011" t="str">
            <v>LEASE/RENTAL EQUIP-ULTRASOUND</v>
          </cell>
          <cell r="C1011">
            <v>33.799999999999997</v>
          </cell>
        </row>
        <row r="1012">
          <cell r="A1012" t="str">
            <v>40096041</v>
          </cell>
          <cell r="B1012" t="str">
            <v>LEASE/RENTALS EQUIP-LAB-CLIN</v>
          </cell>
          <cell r="C1012">
            <v>239.75</v>
          </cell>
        </row>
        <row r="1013">
          <cell r="A1013" t="str">
            <v>40096044</v>
          </cell>
          <cell r="B1013" t="str">
            <v>LEASE/RENTALS EQUIP-RADIOLOGY</v>
          </cell>
          <cell r="C1013">
            <v>4721.3500000000004</v>
          </cell>
        </row>
        <row r="1014">
          <cell r="A1014" t="str">
            <v>40096045</v>
          </cell>
          <cell r="B1014" t="str">
            <v>LEASE/RENTALS EQUIP-CAT SCAN</v>
          </cell>
          <cell r="C1014">
            <v>1333.87</v>
          </cell>
        </row>
        <row r="1015">
          <cell r="A1015" t="str">
            <v>40096047</v>
          </cell>
          <cell r="B1015" t="str">
            <v>LEASE/RENTALS EQUIP-PHARMACY</v>
          </cell>
          <cell r="C1015">
            <v>35916.949999999997</v>
          </cell>
        </row>
        <row r="1016">
          <cell r="A1016" t="str">
            <v>40096048</v>
          </cell>
          <cell r="B1016" t="str">
            <v>LEASE/RENTALS EQUIP-ANESTH</v>
          </cell>
          <cell r="C1016">
            <v>8634.99</v>
          </cell>
        </row>
        <row r="1017">
          <cell r="A1017" t="str">
            <v>40096049</v>
          </cell>
          <cell r="B1017" t="str">
            <v>LEASE/RENTALS EQUIP-PHY THPY</v>
          </cell>
          <cell r="C1017">
            <v>257.14999999999998</v>
          </cell>
        </row>
        <row r="1018">
          <cell r="A1018" t="str">
            <v>40096050</v>
          </cell>
          <cell r="B1018" t="str">
            <v>LEASE/RENTALS EQUIP-RESP THPY</v>
          </cell>
          <cell r="C1018">
            <v>463.2</v>
          </cell>
        </row>
        <row r="1019">
          <cell r="A1019" t="str">
            <v>40096055</v>
          </cell>
          <cell r="B1019" t="str">
            <v>LEASE/RENTALS EQUIP</v>
          </cell>
          <cell r="C1019">
            <v>90.35</v>
          </cell>
        </row>
        <row r="1020">
          <cell r="A1020" t="str">
            <v>40096057</v>
          </cell>
          <cell r="B1020" t="str">
            <v>LEASE/RENTALS EQUIP-MED REC</v>
          </cell>
          <cell r="C1020">
            <v>3021.62</v>
          </cell>
        </row>
        <row r="1021">
          <cell r="A1021" t="str">
            <v>40096060</v>
          </cell>
          <cell r="B1021" t="str">
            <v>LEASE/RENTALS EQUIP-ADM &amp; GEN</v>
          </cell>
          <cell r="C1021">
            <v>511.75</v>
          </cell>
        </row>
        <row r="1022">
          <cell r="A1022" t="str">
            <v>40096061</v>
          </cell>
          <cell r="B1022" t="str">
            <v>LEASE/RENTALS EQUIP-PERSONNEL</v>
          </cell>
          <cell r="C1022">
            <v>214.8</v>
          </cell>
        </row>
        <row r="1023">
          <cell r="A1023" t="str">
            <v>40096062</v>
          </cell>
          <cell r="B1023" t="str">
            <v>LEASE/RNTLS EQUIP - QA</v>
          </cell>
          <cell r="C1023">
            <v>897.8</v>
          </cell>
        </row>
        <row r="1024">
          <cell r="A1024" t="str">
            <v>40096063</v>
          </cell>
          <cell r="B1024" t="str">
            <v>LEASE/RENTALS EQUIP-COMMUCN</v>
          </cell>
          <cell r="C1024">
            <v>436.71</v>
          </cell>
        </row>
        <row r="1025">
          <cell r="A1025" t="str">
            <v>40096064</v>
          </cell>
          <cell r="B1025" t="str">
            <v>LEASE/RENTAL EQUIP-PUR STORE</v>
          </cell>
          <cell r="C1025">
            <v>1465</v>
          </cell>
        </row>
        <row r="1026">
          <cell r="A1026" t="str">
            <v>40096067</v>
          </cell>
          <cell r="B1026" t="str">
            <v>LEASE/RENTALS EQUIP-MAILROOM</v>
          </cell>
          <cell r="C1026">
            <v>6806.18</v>
          </cell>
        </row>
        <row r="1027">
          <cell r="A1027" t="str">
            <v>40096068</v>
          </cell>
          <cell r="B1027" t="str">
            <v>LEASE/RENTALS EQUIP-PRINTING</v>
          </cell>
          <cell r="C1027">
            <v>132635.98000000001</v>
          </cell>
        </row>
        <row r="1028">
          <cell r="A1028" t="str">
            <v>40096076</v>
          </cell>
          <cell r="B1028" t="str">
            <v>LEASE RENTALS-ED/HOSP WIDE</v>
          </cell>
          <cell r="C1028">
            <v>139.30000000000001</v>
          </cell>
        </row>
        <row r="1029">
          <cell r="A1029" t="str">
            <v>40096077</v>
          </cell>
          <cell r="B1029" t="str">
            <v>RENT/LEASE EQP-RMH-LABORATORY</v>
          </cell>
          <cell r="C1029">
            <v>3797.95</v>
          </cell>
        </row>
        <row r="1030">
          <cell r="A1030" t="str">
            <v>40096080</v>
          </cell>
          <cell r="B1030" t="str">
            <v>LEASE/RENTALS EQUIP-DIETARY SE</v>
          </cell>
          <cell r="C1030">
            <v>97.3</v>
          </cell>
        </row>
        <row r="1031">
          <cell r="A1031" t="str">
            <v>40096083</v>
          </cell>
          <cell r="B1031" t="str">
            <v>LEASE/RENTALS EQUIP-PLANT MAIN</v>
          </cell>
          <cell r="C1031">
            <v>1569.38</v>
          </cell>
        </row>
        <row r="1032">
          <cell r="A1032" t="str">
            <v>40096085</v>
          </cell>
          <cell r="B1032" t="str">
            <v>LEASE/RENTALS EQUIP-HSKP SERV</v>
          </cell>
          <cell r="C1032">
            <v>681.1</v>
          </cell>
        </row>
        <row r="1033">
          <cell r="A1033" t="str">
            <v>40096086</v>
          </cell>
          <cell r="B1033" t="str">
            <v>LEASE/RENTALS EQUIP-LAUND/LINE</v>
          </cell>
          <cell r="C1033">
            <v>0</v>
          </cell>
        </row>
        <row r="1034">
          <cell r="A1034" t="str">
            <v>40096091</v>
          </cell>
          <cell r="B1034" t="str">
            <v>LEASE/RENTALS EQUIP-DATA PROCE</v>
          </cell>
          <cell r="C1034">
            <v>874.5</v>
          </cell>
        </row>
        <row r="1035">
          <cell r="A1035" t="str">
            <v>40096096</v>
          </cell>
          <cell r="B1035" t="str">
            <v>LEASE/RENTAL EQUIP</v>
          </cell>
          <cell r="C1035">
            <v>1062.45</v>
          </cell>
        </row>
        <row r="1036">
          <cell r="A1036" t="str">
            <v>40099061</v>
          </cell>
          <cell r="B1036" t="str">
            <v>ADVERTISING-HR</v>
          </cell>
          <cell r="C1036">
            <v>26058.82</v>
          </cell>
        </row>
        <row r="1037">
          <cell r="A1037" t="str">
            <v>40099065</v>
          </cell>
          <cell r="B1037" t="str">
            <v>ADVERTISING-PUBLIC RELATIONS</v>
          </cell>
          <cell r="C1037">
            <v>45878.9</v>
          </cell>
        </row>
        <row r="1038">
          <cell r="A1038" t="str">
            <v>40101017</v>
          </cell>
          <cell r="B1038" t="str">
            <v>RECRUITMENT FEES</v>
          </cell>
          <cell r="C1038">
            <v>170.26</v>
          </cell>
        </row>
        <row r="1039">
          <cell r="A1039" t="str">
            <v>40101041</v>
          </cell>
          <cell r="B1039" t="str">
            <v>RECRUITMENT FEES</v>
          </cell>
          <cell r="C1039">
            <v>145.16999999999999</v>
          </cell>
        </row>
        <row r="1040">
          <cell r="A1040" t="str">
            <v>40101060</v>
          </cell>
          <cell r="B1040" t="str">
            <v>RECRUITMENT FEES</v>
          </cell>
          <cell r="C1040">
            <v>54557.36</v>
          </cell>
        </row>
        <row r="1041">
          <cell r="A1041" t="str">
            <v>40101061</v>
          </cell>
          <cell r="B1041" t="str">
            <v>RECRUITMENT FEES</v>
          </cell>
          <cell r="C1041">
            <v>32244.68</v>
          </cell>
        </row>
        <row r="1042">
          <cell r="A1042" t="str">
            <v>40146002</v>
          </cell>
          <cell r="B1042" t="str">
            <v>NON CHARGEABLE INVENTORY</v>
          </cell>
          <cell r="C1042">
            <v>0</v>
          </cell>
        </row>
        <row r="1043">
          <cell r="A1043" t="str">
            <v>40146009</v>
          </cell>
          <cell r="B1043" t="str">
            <v>NON-CHARGEABLE MEDS-MED/SURG I</v>
          </cell>
          <cell r="C1043">
            <v>319.52</v>
          </cell>
        </row>
        <row r="1044">
          <cell r="A1044" t="str">
            <v>40146013</v>
          </cell>
          <cell r="B1044" t="str">
            <v>NON-CHARGEABLE MEDS-OBSTETRICS</v>
          </cell>
          <cell r="C1044">
            <v>559.65</v>
          </cell>
        </row>
        <row r="1045">
          <cell r="A1045" t="str">
            <v>40146015</v>
          </cell>
          <cell r="B1045" t="str">
            <v>NON CHARGEABLE INVENTORY</v>
          </cell>
          <cell r="C1045">
            <v>9.2100000000000009</v>
          </cell>
        </row>
        <row r="1046">
          <cell r="A1046" t="str">
            <v>40146017</v>
          </cell>
          <cell r="B1046" t="str">
            <v>NON CHARGEABLE INVENTORY</v>
          </cell>
          <cell r="C1046">
            <v>166.92</v>
          </cell>
        </row>
        <row r="1047">
          <cell r="A1047" t="str">
            <v>40146018</v>
          </cell>
          <cell r="B1047" t="str">
            <v>NON-CHARGE MEDS-RMH-PSYCH</v>
          </cell>
          <cell r="C1047">
            <v>42.32</v>
          </cell>
        </row>
        <row r="1048">
          <cell r="A1048" t="str">
            <v>40146021</v>
          </cell>
          <cell r="B1048" t="str">
            <v>NON-CHARGEABLE MEDS-SURGICAL S</v>
          </cell>
          <cell r="C1048">
            <v>3884.15</v>
          </cell>
        </row>
        <row r="1049">
          <cell r="A1049" t="str">
            <v>40146023</v>
          </cell>
          <cell r="B1049" t="str">
            <v>NON-CHARGEABLE MEDS-EMERGENCY</v>
          </cell>
          <cell r="C1049">
            <v>2615.23</v>
          </cell>
        </row>
        <row r="1050">
          <cell r="A1050" t="str">
            <v>40146024</v>
          </cell>
          <cell r="B1050" t="str">
            <v>NON-CHARGEABLE MEDS-ONE DAY</v>
          </cell>
          <cell r="C1050">
            <v>4.83</v>
          </cell>
        </row>
        <row r="1051">
          <cell r="A1051" t="str">
            <v>40146025</v>
          </cell>
          <cell r="B1051" t="str">
            <v>NON CHARGEABLE</v>
          </cell>
          <cell r="C1051">
            <v>0</v>
          </cell>
        </row>
        <row r="1052">
          <cell r="A1052" t="str">
            <v>40146028</v>
          </cell>
          <cell r="B1052" t="str">
            <v>NON-CHARGEABLE MEDS-SPEC PROC</v>
          </cell>
          <cell r="C1052">
            <v>154.94999999999999</v>
          </cell>
        </row>
        <row r="1053">
          <cell r="A1053" t="str">
            <v>40146037</v>
          </cell>
          <cell r="B1053" t="str">
            <v>NON CHARGEABLE INVENTORY</v>
          </cell>
          <cell r="C1053">
            <v>33.1</v>
          </cell>
        </row>
        <row r="1054">
          <cell r="A1054" t="str">
            <v>40146041</v>
          </cell>
          <cell r="B1054" t="str">
            <v>NON-CHARGE ITEMS-LAB, DIAGNOS</v>
          </cell>
          <cell r="C1054">
            <v>4.79</v>
          </cell>
        </row>
        <row r="1055">
          <cell r="A1055" t="str">
            <v>40146044</v>
          </cell>
          <cell r="B1055" t="str">
            <v>NON-CHARGEABLE MEDS-RADIOLOGY</v>
          </cell>
          <cell r="C1055">
            <v>220.96</v>
          </cell>
        </row>
        <row r="1056">
          <cell r="A1056" t="str">
            <v>40146047</v>
          </cell>
          <cell r="B1056" t="str">
            <v>PHARMACEUTICAL-NO CHARGE</v>
          </cell>
          <cell r="C1056">
            <v>12642</v>
          </cell>
        </row>
        <row r="1057">
          <cell r="A1057" t="str">
            <v>40146048</v>
          </cell>
          <cell r="B1057" t="str">
            <v>NON-CHARGEABLE MEDS-ANESTHESIO</v>
          </cell>
          <cell r="C1057">
            <v>71.72</v>
          </cell>
        </row>
        <row r="1058">
          <cell r="A1058" t="str">
            <v>50001000</v>
          </cell>
          <cell r="B1058" t="str">
            <v>CHARITY UNCOMP.CARE - I/P</v>
          </cell>
          <cell r="C1058">
            <v>432332.65</v>
          </cell>
        </row>
        <row r="1059">
          <cell r="A1059" t="str">
            <v>50001001</v>
          </cell>
          <cell r="B1059" t="str">
            <v>CHARITY UNCOMP CARE-RMH-I/P</v>
          </cell>
          <cell r="C1059">
            <v>91551.039999999994</v>
          </cell>
        </row>
        <row r="1060">
          <cell r="A1060" t="str">
            <v>50011000</v>
          </cell>
          <cell r="B1060" t="str">
            <v>CHARITY UNCOMP.CARE - O/P</v>
          </cell>
          <cell r="C1060">
            <v>2269861.5099999998</v>
          </cell>
        </row>
        <row r="1061">
          <cell r="A1061" t="str">
            <v>50011015</v>
          </cell>
          <cell r="B1061" t="str">
            <v>CHARITY SERVICES-O/P/ENT</v>
          </cell>
          <cell r="C1061">
            <v>3727.57</v>
          </cell>
        </row>
        <row r="1062">
          <cell r="A1062" t="str">
            <v>50011017</v>
          </cell>
          <cell r="B1062" t="str">
            <v>CHARITY SERVICES-O/P</v>
          </cell>
          <cell r="C1062">
            <v>38385.85</v>
          </cell>
        </row>
        <row r="1063">
          <cell r="A1063" t="str">
            <v>50011037</v>
          </cell>
          <cell r="B1063" t="str">
            <v>CHARITY CARE</v>
          </cell>
          <cell r="C1063">
            <v>36541.17</v>
          </cell>
        </row>
        <row r="1064">
          <cell r="A1064" t="str">
            <v>50011058</v>
          </cell>
          <cell r="B1064" t="str">
            <v>CHARITY SERVICES-ANES PHYS</v>
          </cell>
          <cell r="C1064">
            <v>22648.31</v>
          </cell>
        </row>
        <row r="1065">
          <cell r="A1065" t="str">
            <v>50011096</v>
          </cell>
          <cell r="B1065" t="str">
            <v>CHARITY CARE - HOSPITALIST</v>
          </cell>
          <cell r="C1065">
            <v>16619.73</v>
          </cell>
        </row>
        <row r="1066">
          <cell r="A1066" t="str">
            <v>50101000</v>
          </cell>
          <cell r="B1066" t="str">
            <v>CONTRACTUAL ADJ - BC I/P</v>
          </cell>
          <cell r="C1066">
            <v>918742.67</v>
          </cell>
        </row>
        <row r="1067">
          <cell r="A1067" t="str">
            <v>50101001</v>
          </cell>
          <cell r="B1067" t="str">
            <v>CONTRCTL ADJ-RMH-B/C-I/P</v>
          </cell>
          <cell r="C1067">
            <v>5136.82</v>
          </cell>
        </row>
        <row r="1068">
          <cell r="A1068" t="str">
            <v>50102000</v>
          </cell>
          <cell r="B1068" t="str">
            <v>CONTRACTUAL ADJ - MCARE - I/P</v>
          </cell>
          <cell r="C1068">
            <v>7892356.29</v>
          </cell>
        </row>
        <row r="1069">
          <cell r="A1069" t="str">
            <v>50102001</v>
          </cell>
          <cell r="B1069" t="str">
            <v>CONTRCTL ADJ-RMH-MCARE-I/P</v>
          </cell>
          <cell r="C1069">
            <v>487966.82</v>
          </cell>
        </row>
        <row r="1070">
          <cell r="A1070" t="str">
            <v>50103000</v>
          </cell>
          <cell r="B1070" t="str">
            <v>CONTRACTUAL ADJ - MCAID I/P</v>
          </cell>
          <cell r="C1070">
            <v>3128999.44</v>
          </cell>
        </row>
        <row r="1071">
          <cell r="A1071" t="str">
            <v>50103001</v>
          </cell>
          <cell r="B1071" t="str">
            <v>CONTRCTL ADJ-RMH-MCAID-I/P</v>
          </cell>
          <cell r="C1071">
            <v>21836.01</v>
          </cell>
        </row>
        <row r="1072">
          <cell r="A1072" t="str">
            <v>50104000</v>
          </cell>
          <cell r="B1072" t="str">
            <v>CONTRACTUAL ADJ CHP INS  I/P</v>
          </cell>
          <cell r="C1072">
            <v>6394.72</v>
          </cell>
        </row>
        <row r="1073">
          <cell r="A1073" t="str">
            <v>50107000</v>
          </cell>
          <cell r="B1073" t="str">
            <v>CONTRACTUAL ADJ - COMM I/P</v>
          </cell>
          <cell r="C1073">
            <v>695494.53</v>
          </cell>
        </row>
        <row r="1074">
          <cell r="A1074" t="str">
            <v>50107001</v>
          </cell>
          <cell r="B1074" t="str">
            <v>CONTRACTUAL ADJ -BF COMM I/P</v>
          </cell>
          <cell r="C1074">
            <v>13023.16</v>
          </cell>
        </row>
        <row r="1075">
          <cell r="A1075" t="str">
            <v>50108000</v>
          </cell>
          <cell r="B1075" t="str">
            <v>CONTRACT ADJ. W/C  I/P</v>
          </cell>
          <cell r="C1075">
            <v>236070.35</v>
          </cell>
        </row>
        <row r="1076">
          <cell r="A1076" t="str">
            <v>50109000</v>
          </cell>
          <cell r="B1076" t="str">
            <v>CONTRACT ADJ.-LOST CHGS INPT</v>
          </cell>
          <cell r="C1076">
            <v>194310.43</v>
          </cell>
        </row>
        <row r="1077">
          <cell r="A1077" t="str">
            <v>50110000</v>
          </cell>
          <cell r="B1077" t="str">
            <v>MCARE QUALITY PMTS-NEW FY15</v>
          </cell>
          <cell r="C1077">
            <v>-4660.3500000000004</v>
          </cell>
        </row>
        <row r="1078">
          <cell r="A1078" t="str">
            <v>50111000</v>
          </cell>
          <cell r="B1078" t="str">
            <v>CONTRACTUAL ADJ BC OUTPATIENTS</v>
          </cell>
          <cell r="C1078">
            <v>4026115.06</v>
          </cell>
        </row>
        <row r="1079">
          <cell r="A1079" t="str">
            <v>50112000</v>
          </cell>
          <cell r="B1079" t="str">
            <v>CONTRACTUAL ADJ-MEDICARE O/P</v>
          </cell>
          <cell r="C1079">
            <v>25416399.120000001</v>
          </cell>
        </row>
        <row r="1080">
          <cell r="A1080" t="str">
            <v>50112015</v>
          </cell>
          <cell r="B1080" t="str">
            <v>CONTRACT ADJ-MEDICARE - ENT</v>
          </cell>
          <cell r="C1080">
            <v>398801.26</v>
          </cell>
        </row>
        <row r="1081">
          <cell r="A1081" t="str">
            <v>50112017</v>
          </cell>
          <cell r="B1081" t="str">
            <v>CONTRACT ADJ</v>
          </cell>
          <cell r="C1081">
            <v>2530524.81</v>
          </cell>
        </row>
        <row r="1082">
          <cell r="A1082" t="str">
            <v>50112037</v>
          </cell>
          <cell r="B1082" t="str">
            <v>CONTRACTUAL ADJ</v>
          </cell>
          <cell r="C1082">
            <v>1356524.16</v>
          </cell>
        </row>
        <row r="1083">
          <cell r="A1083" t="str">
            <v>50112058</v>
          </cell>
          <cell r="B1083" t="str">
            <v>C/A MEDICARE - ANES PHYS</v>
          </cell>
          <cell r="C1083">
            <v>386603.86</v>
          </cell>
        </row>
        <row r="1084">
          <cell r="A1084" t="str">
            <v>50112096</v>
          </cell>
          <cell r="B1084" t="str">
            <v>CONTRACTUAL ADJ - HOSPITALIST</v>
          </cell>
          <cell r="C1084">
            <v>467448.19</v>
          </cell>
        </row>
        <row r="1085">
          <cell r="A1085" t="str">
            <v>50113000</v>
          </cell>
          <cell r="B1085" t="str">
            <v>CONTRACTUAL ADJ - MEDICAID O/P</v>
          </cell>
          <cell r="C1085">
            <v>17912721.57</v>
          </cell>
        </row>
        <row r="1086">
          <cell r="A1086" t="str">
            <v>50116000</v>
          </cell>
          <cell r="B1086" t="str">
            <v>CONTRACTUAL ADJ-CBA OUTPATIENT</v>
          </cell>
          <cell r="C1086">
            <v>445281.45</v>
          </cell>
        </row>
        <row r="1087">
          <cell r="A1087" t="str">
            <v>50117000</v>
          </cell>
          <cell r="B1087" t="str">
            <v>CONTRACTUAL ADJ - COMM O/P</v>
          </cell>
          <cell r="C1087">
            <v>2094968.74</v>
          </cell>
        </row>
        <row r="1088">
          <cell r="A1088" t="str">
            <v>50119000</v>
          </cell>
          <cell r="B1088" t="str">
            <v>CONTRACT ADJ. - LOST CHGS O/P</v>
          </cell>
          <cell r="C1088">
            <v>689191.08</v>
          </cell>
        </row>
        <row r="1089">
          <cell r="A1089" t="str">
            <v>50165000</v>
          </cell>
          <cell r="B1089" t="str">
            <v>CONTR ADJUSTMENT-CHAMPUS OP</v>
          </cell>
          <cell r="C1089">
            <v>15342.49</v>
          </cell>
        </row>
        <row r="1090">
          <cell r="A1090" t="str">
            <v>50201000</v>
          </cell>
          <cell r="B1090" t="str">
            <v>PROF POLICY DISC.I/P</v>
          </cell>
          <cell r="C1090">
            <v>27152.14</v>
          </cell>
        </row>
        <row r="1091">
          <cell r="A1091" t="str">
            <v>50201001</v>
          </cell>
          <cell r="B1091" t="str">
            <v>PROF POLICY DISC-RMH- I/P</v>
          </cell>
          <cell r="C1091">
            <v>525.21</v>
          </cell>
        </row>
        <row r="1092">
          <cell r="A1092" t="str">
            <v>50206000</v>
          </cell>
          <cell r="B1092" t="str">
            <v>PROF POLICY DISC. O/P</v>
          </cell>
          <cell r="C1092">
            <v>18.100000000000001</v>
          </cell>
        </row>
        <row r="1093">
          <cell r="A1093" t="str">
            <v>50231000</v>
          </cell>
          <cell r="B1093" t="str">
            <v>WRITE OFF IMMATERIAL BAL. I/P</v>
          </cell>
          <cell r="C1093">
            <v>13.71</v>
          </cell>
        </row>
        <row r="1094">
          <cell r="A1094" t="str">
            <v>50231001</v>
          </cell>
          <cell r="B1094" t="str">
            <v>WRITE-OFF IMMAT BAL-B.F.-I/P</v>
          </cell>
          <cell r="C1094">
            <v>-5.94</v>
          </cell>
        </row>
        <row r="1095">
          <cell r="A1095" t="str">
            <v>50236000</v>
          </cell>
          <cell r="B1095" t="str">
            <v>WRITE OFF IMMATERIAL BAL. O/P</v>
          </cell>
          <cell r="C1095">
            <v>18919.560000000001</v>
          </cell>
        </row>
        <row r="1096">
          <cell r="A1096" t="str">
            <v>50281000</v>
          </cell>
          <cell r="B1096" t="str">
            <v>PROV FOR DOUBT ACCTS - I/P</v>
          </cell>
          <cell r="C1096">
            <v>1109559</v>
          </cell>
        </row>
        <row r="1097">
          <cell r="A1097" t="str">
            <v>50281001</v>
          </cell>
          <cell r="B1097" t="str">
            <v>PROV DOUBT ACCT-RMH- I/P</v>
          </cell>
          <cell r="C1097">
            <v>371983</v>
          </cell>
        </row>
        <row r="1098">
          <cell r="A1098" t="str">
            <v>50282000</v>
          </cell>
          <cell r="B1098" t="str">
            <v>PROV FOR DOUBT ACCTS - O/P</v>
          </cell>
          <cell r="C1098">
            <v>3030224.71</v>
          </cell>
        </row>
        <row r="1099">
          <cell r="A1099" t="str">
            <v>50282001</v>
          </cell>
          <cell r="B1099" t="str">
            <v>PROV DOUBT ACCT-RMH- O/P</v>
          </cell>
          <cell r="C1099">
            <v>639344</v>
          </cell>
        </row>
        <row r="1100">
          <cell r="A1100" t="str">
            <v>50286015</v>
          </cell>
          <cell r="B1100" t="str">
            <v>BAD DEBT EXPENSE - ENT</v>
          </cell>
          <cell r="C1100">
            <v>26024.95</v>
          </cell>
        </row>
        <row r="1101">
          <cell r="A1101" t="str">
            <v>50286017</v>
          </cell>
          <cell r="B1101" t="str">
            <v>BAD DEBT EXP</v>
          </cell>
          <cell r="C1101">
            <v>66479.08</v>
          </cell>
        </row>
        <row r="1102">
          <cell r="A1102" t="str">
            <v>50286037</v>
          </cell>
          <cell r="B1102" t="str">
            <v>BAD DEBT EXP</v>
          </cell>
          <cell r="C1102">
            <v>43339.24</v>
          </cell>
        </row>
        <row r="1103">
          <cell r="A1103" t="str">
            <v>50286058</v>
          </cell>
          <cell r="B1103" t="str">
            <v>BAD DEBT EXP - ANES PHYS</v>
          </cell>
          <cell r="C1103">
            <v>44062.13</v>
          </cell>
        </row>
        <row r="1104">
          <cell r="A1104" t="str">
            <v>50286096</v>
          </cell>
          <cell r="B1104" t="str">
            <v>BAD DEBT - HOSPITALIST</v>
          </cell>
          <cell r="C1104">
            <v>30070.85</v>
          </cell>
        </row>
        <row r="1105">
          <cell r="A1105" t="str">
            <v>50295000</v>
          </cell>
          <cell r="B1105" t="str">
            <v>NET BAD DEBT RECOVERY SELF PAY</v>
          </cell>
          <cell r="C1105">
            <v>-430590.85</v>
          </cell>
        </row>
        <row r="1106">
          <cell r="A1106" t="str">
            <v>50295001</v>
          </cell>
          <cell r="B1106" t="str">
            <v>NET BAD DBT RECOVERY-RMH-SLFPY</v>
          </cell>
          <cell r="C1106">
            <v>-12383.25</v>
          </cell>
        </row>
        <row r="1107">
          <cell r="A1107" t="str">
            <v>50300000</v>
          </cell>
          <cell r="B1107" t="str">
            <v>CAFETERIA SALES</v>
          </cell>
          <cell r="C1107">
            <v>-168833.36</v>
          </cell>
        </row>
        <row r="1108">
          <cell r="A1108" t="str">
            <v>50300053</v>
          </cell>
          <cell r="B1108" t="str">
            <v>CAFETERIA REVENUE-BF</v>
          </cell>
          <cell r="C1108">
            <v>-6220.5</v>
          </cell>
        </row>
        <row r="1109">
          <cell r="A1109" t="str">
            <v>50330073</v>
          </cell>
          <cell r="B1109" t="str">
            <v>SPFLD ADULT DAYCARE REVENUE</v>
          </cell>
          <cell r="C1109">
            <v>-1965308.39</v>
          </cell>
        </row>
        <row r="1110">
          <cell r="A1110" t="str">
            <v>50330076</v>
          </cell>
          <cell r="B1110" t="str">
            <v>EDUCATION REVENUE</v>
          </cell>
          <cell r="C1110">
            <v>-2865</v>
          </cell>
        </row>
        <row r="1111">
          <cell r="A1111" t="str">
            <v>50360000</v>
          </cell>
          <cell r="B1111" t="str">
            <v>COPY SERVICE</v>
          </cell>
          <cell r="C1111">
            <v>-3818.95</v>
          </cell>
        </row>
        <row r="1112">
          <cell r="A1112" t="str">
            <v>50390000</v>
          </cell>
          <cell r="B1112" t="str">
            <v>CASH DISCOUNT ON PURCHASES</v>
          </cell>
          <cell r="C1112">
            <v>-78.23</v>
          </cell>
        </row>
        <row r="1113">
          <cell r="A1113" t="str">
            <v>50440000</v>
          </cell>
          <cell r="B1113" t="str">
            <v>OTHER INCOME</v>
          </cell>
          <cell r="C1113">
            <v>-53982.03</v>
          </cell>
        </row>
        <row r="1114">
          <cell r="A1114" t="str">
            <v>50600000</v>
          </cell>
          <cell r="B1114" t="str">
            <v>GRANTS - NON FEDERAL</v>
          </cell>
          <cell r="C1114">
            <v>-4687.5</v>
          </cell>
        </row>
        <row r="1115">
          <cell r="A1115" t="str">
            <v>50600002</v>
          </cell>
          <cell r="B1115" t="str">
            <v>GRANT REV - SM RURAL HOSP (FED</v>
          </cell>
          <cell r="C1115">
            <v>-5404.04</v>
          </cell>
        </row>
        <row r="1116">
          <cell r="A1116" t="str">
            <v>50605000</v>
          </cell>
          <cell r="B1116" t="str">
            <v>TEMP RESTR N.A. RELEASES-EXP</v>
          </cell>
          <cell r="C1116">
            <v>-29342.32</v>
          </cell>
        </row>
        <row r="1117">
          <cell r="A1117" t="str">
            <v>50606000</v>
          </cell>
          <cell r="B1117" t="str">
            <v>TEMP RESTR N.A. RELEASES-CAPTL</v>
          </cell>
          <cell r="C1117">
            <v>-20063.759999999998</v>
          </cell>
        </row>
        <row r="1118">
          <cell r="A1118" t="str">
            <v>50610000</v>
          </cell>
          <cell r="B1118" t="str">
            <v>DONATIONS - UNRESTRICTED</v>
          </cell>
          <cell r="C1118">
            <v>-47331.32</v>
          </cell>
        </row>
        <row r="1119">
          <cell r="A1119" t="str">
            <v>50651000</v>
          </cell>
          <cell r="B1119" t="str">
            <v>TRANSFERS OUT</v>
          </cell>
          <cell r="C1119">
            <v>956214.56</v>
          </cell>
        </row>
        <row r="1120">
          <cell r="A1120" t="str">
            <v>50715000</v>
          </cell>
          <cell r="B1120" t="str">
            <v>INTEREST INCOME - BANK/OTHER</v>
          </cell>
          <cell r="C1120">
            <v>-8276.67</v>
          </cell>
        </row>
        <row r="1121">
          <cell r="A1121" t="str">
            <v>50720000</v>
          </cell>
          <cell r="B1121" t="str">
            <v>INT &amp; DIV ON INVESTMENTS</v>
          </cell>
          <cell r="C1121">
            <v>-248625.24</v>
          </cell>
        </row>
        <row r="1122">
          <cell r="A1122" t="str">
            <v>50735000</v>
          </cell>
          <cell r="B1122" t="str">
            <v>UNREALIZED GAIN ON INVESTMENTS</v>
          </cell>
          <cell r="C1122">
            <v>771447.81</v>
          </cell>
        </row>
        <row r="1123">
          <cell r="A1123" t="str">
            <v>50771000</v>
          </cell>
          <cell r="B1123" t="str">
            <v>REALIZED CAPITAL GAIN ON INV.</v>
          </cell>
          <cell r="C1123">
            <v>-836136.76</v>
          </cell>
        </row>
        <row r="1124">
          <cell r="A1124" t="str">
            <v>50772000</v>
          </cell>
          <cell r="B1124" t="str">
            <v>UNRECOGNIZED PENSION EXPENSE</v>
          </cell>
          <cell r="C1124">
            <v>1445717</v>
          </cell>
        </row>
        <row r="1125">
          <cell r="A1125" t="str">
            <v>50774000</v>
          </cell>
          <cell r="B1125" t="str">
            <v>DISPROPORTIONATE SHARE PMTS</v>
          </cell>
          <cell r="C1125">
            <v>-2457384.7999999998</v>
          </cell>
        </row>
        <row r="1126">
          <cell r="A1126" t="str">
            <v>50775000</v>
          </cell>
          <cell r="B1126" t="str">
            <v>PROVIDER TAX</v>
          </cell>
          <cell r="C1126">
            <v>3687913.81</v>
          </cell>
        </row>
        <row r="1127">
          <cell r="A1127" t="str">
            <v/>
          </cell>
        </row>
        <row r="1128">
          <cell r="A1128" t="str">
            <v/>
          </cell>
        </row>
        <row r="1129">
          <cell r="A1129" t="str">
            <v/>
          </cell>
        </row>
        <row r="1130">
          <cell r="A1130" t="str">
            <v/>
          </cell>
        </row>
        <row r="1131">
          <cell r="A1131" t="str">
            <v/>
          </cell>
        </row>
        <row r="1132">
          <cell r="A1132" t="str">
            <v/>
          </cell>
        </row>
        <row r="1133">
          <cell r="A1133" t="str">
            <v/>
          </cell>
        </row>
        <row r="1134">
          <cell r="A1134" t="str">
            <v/>
          </cell>
        </row>
        <row r="1135">
          <cell r="A1135" t="str">
            <v/>
          </cell>
        </row>
        <row r="1136">
          <cell r="A1136" t="str">
            <v/>
          </cell>
        </row>
        <row r="1137">
          <cell r="A1137" t="str">
            <v/>
          </cell>
        </row>
        <row r="1138">
          <cell r="A1138" t="str">
            <v/>
          </cell>
        </row>
        <row r="1139">
          <cell r="A1139" t="str">
            <v/>
          </cell>
        </row>
        <row r="1140">
          <cell r="A1140" t="str">
            <v/>
          </cell>
        </row>
        <row r="1141">
          <cell r="A1141" t="str">
            <v/>
          </cell>
        </row>
        <row r="1142">
          <cell r="A1142" t="str">
            <v/>
          </cell>
        </row>
        <row r="1143">
          <cell r="A1143" t="str">
            <v/>
          </cell>
        </row>
        <row r="1144">
          <cell r="A1144" t="str">
            <v/>
          </cell>
        </row>
        <row r="1145">
          <cell r="A1145" t="str">
            <v/>
          </cell>
        </row>
        <row r="1146">
          <cell r="A1146" t="str">
            <v/>
          </cell>
        </row>
        <row r="1147">
          <cell r="A1147" t="str">
            <v/>
          </cell>
        </row>
        <row r="1148">
          <cell r="A1148" t="str">
            <v/>
          </cell>
        </row>
        <row r="1149">
          <cell r="A1149" t="str">
            <v/>
          </cell>
        </row>
        <row r="1150">
          <cell r="A1150" t="str">
            <v/>
          </cell>
        </row>
        <row r="1151">
          <cell r="A1151" t="str">
            <v/>
          </cell>
        </row>
      </sheetData>
      <sheetData sheetId="3"/>
      <sheetData sheetId="4"/>
      <sheetData sheetId="5"/>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L"/>
      <sheetName val="EXPSUM"/>
      <sheetName val="PHYSSUM"/>
      <sheetName val="other exp"/>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URR"/>
      <sheetName val="TB"/>
      <sheetName val="09.30.2014UNAUDITED"/>
    </sheetNames>
    <sheetDataSet>
      <sheetData sheetId="0"/>
      <sheetData sheetId="1"/>
      <sheetData sheetId="2">
        <row r="2">
          <cell r="A2" t="str">
            <v>10000000</v>
          </cell>
          <cell r="B2" t="str">
            <v>GEN CHECKING ACCT CHITT</v>
          </cell>
          <cell r="C2">
            <v>947110.62</v>
          </cell>
        </row>
        <row r="3">
          <cell r="A3" t="str">
            <v>10001000</v>
          </cell>
          <cell r="B3" t="str">
            <v>GEN CHECKING ACCOUNT/DISBURSE.</v>
          </cell>
          <cell r="C3">
            <v>-626833.23</v>
          </cell>
        </row>
        <row r="4">
          <cell r="A4" t="str">
            <v>10002001</v>
          </cell>
          <cell r="B4" t="str">
            <v>CHECKING ACCT - MEDICAL STAFF</v>
          </cell>
          <cell r="C4">
            <v>10559.28</v>
          </cell>
        </row>
        <row r="5">
          <cell r="A5" t="str">
            <v>10002005</v>
          </cell>
          <cell r="B5" t="str">
            <v>CASH - AMERICAN EXPRESS</v>
          </cell>
          <cell r="C5">
            <v>0</v>
          </cell>
        </row>
        <row r="6">
          <cell r="A6" t="str">
            <v>10003000</v>
          </cell>
          <cell r="B6" t="str">
            <v>PAYROLL CHECKING ACCOUNT</v>
          </cell>
          <cell r="C6">
            <v>0</v>
          </cell>
        </row>
        <row r="7">
          <cell r="A7" t="str">
            <v>10007000</v>
          </cell>
          <cell r="B7" t="str">
            <v>CHITTENDEN - BOND SINKING FUND</v>
          </cell>
          <cell r="C7">
            <v>22628.03</v>
          </cell>
        </row>
        <row r="8">
          <cell r="A8" t="str">
            <v>10008000</v>
          </cell>
          <cell r="B8" t="str">
            <v>BANKNORTH IMPREST FUND</v>
          </cell>
          <cell r="C8">
            <v>3052.71</v>
          </cell>
        </row>
        <row r="9">
          <cell r="A9" t="str">
            <v>10051000</v>
          </cell>
          <cell r="B9" t="str">
            <v>PETTY CASH - BUS. OFFICE</v>
          </cell>
          <cell r="C9">
            <v>175</v>
          </cell>
        </row>
        <row r="10">
          <cell r="A10" t="str">
            <v>10053015</v>
          </cell>
          <cell r="B10" t="str">
            <v>PETTY CASH ENT</v>
          </cell>
          <cell r="C10">
            <v>100</v>
          </cell>
        </row>
        <row r="11">
          <cell r="A11" t="str">
            <v>10053049</v>
          </cell>
          <cell r="B11" t="str">
            <v>PETTY CASH - SPFLD PT</v>
          </cell>
          <cell r="C11">
            <v>50</v>
          </cell>
        </row>
        <row r="12">
          <cell r="A12" t="str">
            <v>10053057</v>
          </cell>
          <cell r="B12" t="str">
            <v>PETTY CASH-MEDICAL RECORDS</v>
          </cell>
          <cell r="C12">
            <v>50</v>
          </cell>
        </row>
        <row r="13">
          <cell r="A13" t="str">
            <v>10053084</v>
          </cell>
          <cell r="B13" t="str">
            <v>PETTY CASH - BF PT</v>
          </cell>
          <cell r="C13">
            <v>50</v>
          </cell>
        </row>
        <row r="14">
          <cell r="A14" t="str">
            <v>10053089</v>
          </cell>
          <cell r="B14" t="str">
            <v>PETTY CASH - O/P REGISTRATION</v>
          </cell>
          <cell r="C14">
            <v>50</v>
          </cell>
        </row>
        <row r="15">
          <cell r="A15" t="str">
            <v>10057000</v>
          </cell>
          <cell r="B15" t="str">
            <v>PETTY CASH FUND - PURCHASING</v>
          </cell>
          <cell r="C15">
            <v>0</v>
          </cell>
        </row>
        <row r="16">
          <cell r="A16" t="str">
            <v>10060000</v>
          </cell>
          <cell r="B16" t="str">
            <v>DAYTIME CASHIER CHANGE FUND</v>
          </cell>
          <cell r="C16">
            <v>50</v>
          </cell>
        </row>
        <row r="17">
          <cell r="A17" t="str">
            <v>10061000</v>
          </cell>
          <cell r="B17" t="str">
            <v>NIGHT CASHIER CHANGE FUND</v>
          </cell>
          <cell r="C17">
            <v>150</v>
          </cell>
        </row>
        <row r="18">
          <cell r="A18" t="str">
            <v>10100000</v>
          </cell>
          <cell r="B18" t="str">
            <v>INVESTMENTS - VARIOUS</v>
          </cell>
          <cell r="C18">
            <v>9600</v>
          </cell>
        </row>
        <row r="19">
          <cell r="A19" t="str">
            <v>10200000</v>
          </cell>
          <cell r="B19" t="str">
            <v>PATIENT RECEIVABLES</v>
          </cell>
          <cell r="C19">
            <v>14874762.689999999</v>
          </cell>
        </row>
        <row r="20">
          <cell r="A20" t="str">
            <v>10208000</v>
          </cell>
          <cell r="B20" t="str">
            <v>UNREFUNDABLE PROPERTY</v>
          </cell>
          <cell r="C20">
            <v>-26141.200000000001</v>
          </cell>
        </row>
        <row r="21">
          <cell r="A21" t="str">
            <v>10210000</v>
          </cell>
          <cell r="B21" t="str">
            <v>ACCTS REC-TRANSFER BAL S/B $0</v>
          </cell>
          <cell r="C21">
            <v>0</v>
          </cell>
        </row>
        <row r="22">
          <cell r="A22" t="str">
            <v>10211000</v>
          </cell>
          <cell r="B22" t="str">
            <v>WORKERS COMP RECEIVABLE</v>
          </cell>
          <cell r="C22">
            <v>0</v>
          </cell>
        </row>
        <row r="23">
          <cell r="A23" t="str">
            <v>10217000</v>
          </cell>
          <cell r="B23" t="str">
            <v>RESERVE FOR CHARITY CARE</v>
          </cell>
          <cell r="C23">
            <v>-281494</v>
          </cell>
        </row>
        <row r="24">
          <cell r="A24" t="str">
            <v>10217001</v>
          </cell>
          <cell r="B24" t="str">
            <v>ALLOWANCE DOUBT ACCT-RMH-I/P</v>
          </cell>
          <cell r="C24">
            <v>84898.66</v>
          </cell>
        </row>
        <row r="25">
          <cell r="A25" t="str">
            <v>10217002</v>
          </cell>
          <cell r="B25" t="str">
            <v>RESERVE FOR ADMIN. ADJ</v>
          </cell>
          <cell r="C25">
            <v>-202000</v>
          </cell>
        </row>
        <row r="26">
          <cell r="A26" t="str">
            <v>10218001</v>
          </cell>
          <cell r="B26" t="str">
            <v>ALLOWANBCE DOUBT ACCT-RMH-O/P</v>
          </cell>
          <cell r="C26">
            <v>2886.39</v>
          </cell>
        </row>
        <row r="27">
          <cell r="A27" t="str">
            <v>10219000</v>
          </cell>
          <cell r="B27" t="str">
            <v>ALLOWANCE DOUBTFUL ACCT I/P</v>
          </cell>
          <cell r="C27">
            <v>-13190.71</v>
          </cell>
        </row>
        <row r="28">
          <cell r="A28" t="str">
            <v>10220000</v>
          </cell>
          <cell r="B28" t="str">
            <v>ALLOWANCE DOUBTFUL ACCT O/P</v>
          </cell>
          <cell r="C28">
            <v>-538975.76</v>
          </cell>
        </row>
        <row r="29">
          <cell r="A29" t="str">
            <v>10221000</v>
          </cell>
          <cell r="B29" t="str">
            <v>RESV FOR CONTR ALLOW BC</v>
          </cell>
          <cell r="C29">
            <v>-318354</v>
          </cell>
        </row>
        <row r="30">
          <cell r="A30" t="str">
            <v>10222000</v>
          </cell>
          <cell r="B30" t="str">
            <v>RESV FOR CONTR ALLOW MCARE</v>
          </cell>
          <cell r="C30">
            <v>-2291295</v>
          </cell>
        </row>
        <row r="31">
          <cell r="A31" t="str">
            <v>10223000</v>
          </cell>
          <cell r="B31" t="str">
            <v>RESV FOR CONTR ALLOW MCAID</v>
          </cell>
          <cell r="C31">
            <v>-1605516</v>
          </cell>
        </row>
        <row r="32">
          <cell r="A32" t="str">
            <v>10224000</v>
          </cell>
          <cell r="B32" t="str">
            <v>RESV FOR CONTR ALLOW COMMCL</v>
          </cell>
          <cell r="C32">
            <v>-804007</v>
          </cell>
        </row>
        <row r="33">
          <cell r="A33" t="str">
            <v>10225000</v>
          </cell>
          <cell r="B33" t="str">
            <v>RESERVE FOR PHYS REV ADJ</v>
          </cell>
          <cell r="C33">
            <v>-443630.37</v>
          </cell>
        </row>
        <row r="34">
          <cell r="A34" t="str">
            <v>10260000</v>
          </cell>
          <cell r="B34" t="str">
            <v>OTHER RECEIVABLES</v>
          </cell>
          <cell r="C34">
            <v>51232.45</v>
          </cell>
        </row>
        <row r="35">
          <cell r="A35" t="str">
            <v>10267000</v>
          </cell>
          <cell r="B35" t="str">
            <v>OTHER RECEIVABLES - NMS</v>
          </cell>
          <cell r="C35">
            <v>-43568.4</v>
          </cell>
        </row>
        <row r="36">
          <cell r="A36" t="str">
            <v>10276000</v>
          </cell>
          <cell r="B36" t="str">
            <v>OTHER RECEIVABLE-SPECIALTY PHY</v>
          </cell>
          <cell r="C36">
            <v>839437.51</v>
          </cell>
        </row>
        <row r="37">
          <cell r="A37" t="str">
            <v>10290000</v>
          </cell>
          <cell r="B37" t="str">
            <v>DUE FR SMCS - PHYSICIAN AR</v>
          </cell>
          <cell r="C37">
            <v>293.36</v>
          </cell>
        </row>
        <row r="38">
          <cell r="A38" t="str">
            <v>10293000</v>
          </cell>
          <cell r="B38" t="str">
            <v>DUE FROM OTHER FUNDS SPEC. PUR</v>
          </cell>
          <cell r="C38">
            <v>0</v>
          </cell>
        </row>
        <row r="39">
          <cell r="A39" t="str">
            <v>10296000</v>
          </cell>
          <cell r="B39" t="str">
            <v>DUE FROM SMCS</v>
          </cell>
          <cell r="C39">
            <v>4895686.66</v>
          </cell>
        </row>
        <row r="40">
          <cell r="A40" t="str">
            <v>10300021</v>
          </cell>
          <cell r="B40" t="str">
            <v>INVENTORY</v>
          </cell>
          <cell r="C40">
            <v>0</v>
          </cell>
        </row>
        <row r="41">
          <cell r="A41" t="str">
            <v>10300064</v>
          </cell>
          <cell r="B41" t="str">
            <v>INVENTORY</v>
          </cell>
          <cell r="C41">
            <v>0</v>
          </cell>
        </row>
        <row r="42">
          <cell r="A42" t="str">
            <v>10301021</v>
          </cell>
          <cell r="B42" t="str">
            <v>INVENTORY - OR</v>
          </cell>
          <cell r="C42">
            <v>0</v>
          </cell>
        </row>
        <row r="43">
          <cell r="A43" t="str">
            <v>10301041</v>
          </cell>
          <cell r="B43" t="str">
            <v>INVENTORY - LAB</v>
          </cell>
          <cell r="C43">
            <v>0</v>
          </cell>
        </row>
        <row r="44">
          <cell r="A44" t="str">
            <v>10301047</v>
          </cell>
          <cell r="B44" t="str">
            <v>INVENTORY - PHARMACY</v>
          </cell>
          <cell r="C44">
            <v>335485.03999999998</v>
          </cell>
        </row>
        <row r="45">
          <cell r="A45" t="str">
            <v>10301064</v>
          </cell>
          <cell r="B45" t="str">
            <v>INVENTORY STOREROOM</v>
          </cell>
          <cell r="C45">
            <v>53714.35</v>
          </cell>
        </row>
        <row r="46">
          <cell r="A46" t="str">
            <v>10302047</v>
          </cell>
          <cell r="B46" t="str">
            <v>INVENTORY - IV'S</v>
          </cell>
          <cell r="C46">
            <v>0</v>
          </cell>
        </row>
        <row r="47">
          <cell r="A47" t="str">
            <v>10302064</v>
          </cell>
          <cell r="B47" t="str">
            <v>INVENTORY - IVS</v>
          </cell>
          <cell r="C47">
            <v>399.83</v>
          </cell>
        </row>
        <row r="48">
          <cell r="A48" t="str">
            <v>10400000</v>
          </cell>
          <cell r="B48" t="str">
            <v>PREPAID INSURANCE - CURRENT YR</v>
          </cell>
          <cell r="C48">
            <v>80351.58</v>
          </cell>
        </row>
        <row r="49">
          <cell r="A49" t="str">
            <v>10470000</v>
          </cell>
          <cell r="B49" t="str">
            <v>PREPAID - OTHER</v>
          </cell>
          <cell r="C49">
            <v>561147.93999999994</v>
          </cell>
        </row>
        <row r="50">
          <cell r="A50" t="str">
            <v>10473000</v>
          </cell>
          <cell r="B50" t="str">
            <v>PREPAID PENSION EXPENSE</v>
          </cell>
          <cell r="C50">
            <v>2276462</v>
          </cell>
        </row>
        <row r="51">
          <cell r="A51" t="str">
            <v>10500000</v>
          </cell>
          <cell r="B51" t="str">
            <v>LAND</v>
          </cell>
          <cell r="C51">
            <v>87157.06</v>
          </cell>
        </row>
        <row r="52">
          <cell r="A52" t="str">
            <v>10510000</v>
          </cell>
          <cell r="B52" t="str">
            <v>LAND IMPROVEMENTS</v>
          </cell>
          <cell r="C52">
            <v>2060899.07</v>
          </cell>
        </row>
        <row r="53">
          <cell r="A53" t="str">
            <v>10530000</v>
          </cell>
          <cell r="B53" t="str">
            <v>BUILDING</v>
          </cell>
          <cell r="C53">
            <v>12882195.99</v>
          </cell>
        </row>
        <row r="54">
          <cell r="A54" t="str">
            <v>10550000</v>
          </cell>
          <cell r="B54" t="str">
            <v>MOTOR VEHICLES</v>
          </cell>
          <cell r="C54">
            <v>85148.33</v>
          </cell>
        </row>
        <row r="55">
          <cell r="A55" t="str">
            <v>10551000</v>
          </cell>
          <cell r="B55" t="str">
            <v>EQUIPMENT FIXED</v>
          </cell>
          <cell r="C55">
            <v>5890128.4800000004</v>
          </cell>
        </row>
        <row r="56">
          <cell r="A56" t="str">
            <v>10552000</v>
          </cell>
          <cell r="B56" t="str">
            <v>EQUIPMENT MAJOR MOVABLE</v>
          </cell>
          <cell r="C56">
            <v>16683957.98</v>
          </cell>
        </row>
        <row r="57">
          <cell r="A57" t="str">
            <v>10556000</v>
          </cell>
          <cell r="B57" t="str">
            <v>LEASEHOLD IMPROVEMENTS</v>
          </cell>
          <cell r="C57">
            <v>966627.45</v>
          </cell>
        </row>
        <row r="58">
          <cell r="A58" t="str">
            <v>10557000</v>
          </cell>
          <cell r="B58" t="str">
            <v>EQUIPMENT PURCHASES</v>
          </cell>
          <cell r="C58">
            <v>0</v>
          </cell>
        </row>
        <row r="59">
          <cell r="A59" t="str">
            <v>10560000</v>
          </cell>
          <cell r="B59" t="str">
            <v>CONSTRUCTION IN PROGRESS</v>
          </cell>
          <cell r="C59">
            <v>1147382.51</v>
          </cell>
        </row>
        <row r="60">
          <cell r="A60" t="str">
            <v>10610000</v>
          </cell>
          <cell r="B60" t="str">
            <v>ACCUMULATED DEPR. LAND IMPROV.</v>
          </cell>
          <cell r="C60">
            <v>-1349976.99</v>
          </cell>
        </row>
        <row r="61">
          <cell r="A61" t="str">
            <v>10630000</v>
          </cell>
          <cell r="B61" t="str">
            <v>ACCUMULATED DEPRECIATION BLDG</v>
          </cell>
          <cell r="C61">
            <v>-6089212.29</v>
          </cell>
        </row>
        <row r="62">
          <cell r="A62" t="str">
            <v>10650000</v>
          </cell>
          <cell r="B62" t="str">
            <v>ACCUMULATED DEPR MOTOR VEHICLE</v>
          </cell>
          <cell r="C62">
            <v>-42163.54</v>
          </cell>
        </row>
        <row r="63">
          <cell r="A63" t="str">
            <v>10651000</v>
          </cell>
          <cell r="B63" t="str">
            <v>ACCUMULATED DEPR FIXED EQUIP.</v>
          </cell>
          <cell r="C63">
            <v>-4701282.97</v>
          </cell>
        </row>
        <row r="64">
          <cell r="A64" t="str">
            <v>10652000</v>
          </cell>
          <cell r="B64" t="str">
            <v>ACCUM DEPR MAJOR MOVABLE EQUIP</v>
          </cell>
          <cell r="C64">
            <v>-12618589.26</v>
          </cell>
        </row>
        <row r="65">
          <cell r="A65" t="str">
            <v>10656000</v>
          </cell>
          <cell r="B65" t="str">
            <v>ACCUM.DEPRECIATION - LEASEHOLD</v>
          </cell>
          <cell r="C65">
            <v>-455064.99</v>
          </cell>
        </row>
        <row r="66">
          <cell r="A66" t="str">
            <v>10714000</v>
          </cell>
          <cell r="B66" t="str">
            <v>2002 BOND ISSUANCE COSTS</v>
          </cell>
          <cell r="C66">
            <v>144132.79999999999</v>
          </cell>
        </row>
        <row r="67">
          <cell r="A67" t="str">
            <v>10715000</v>
          </cell>
          <cell r="B67" t="str">
            <v>ACC AMORT BOND ISSUE COST 2002</v>
          </cell>
          <cell r="C67">
            <v>-73030.399999999994</v>
          </cell>
        </row>
        <row r="68">
          <cell r="A68" t="str">
            <v>10725000</v>
          </cell>
          <cell r="B68" t="str">
            <v>MORTGAGE RECEIVABLE</v>
          </cell>
          <cell r="C68">
            <v>105907.27</v>
          </cell>
        </row>
        <row r="69">
          <cell r="A69" t="str">
            <v>10727000</v>
          </cell>
          <cell r="B69" t="str">
            <v>BENEFICIAL INTEREST IN TRUSTS</v>
          </cell>
          <cell r="C69">
            <v>20842.439999999999</v>
          </cell>
        </row>
        <row r="70">
          <cell r="A70" t="str">
            <v>10730000</v>
          </cell>
          <cell r="B70" t="str">
            <v>RESTRICTED SPEC PURPOSE</v>
          </cell>
          <cell r="C70">
            <v>233411.17</v>
          </cell>
        </row>
        <row r="71">
          <cell r="A71" t="str">
            <v>10734000</v>
          </cell>
          <cell r="B71" t="str">
            <v>SPRINGFIELD HOSP.INC. - IMA</v>
          </cell>
          <cell r="C71">
            <v>12984505.52</v>
          </cell>
        </row>
        <row r="72">
          <cell r="A72" t="str">
            <v>10735000</v>
          </cell>
          <cell r="B72" t="str">
            <v>SPRINGFIELD HOSP, INC. IMA SUB</v>
          </cell>
          <cell r="C72">
            <v>1012917.87</v>
          </cell>
        </row>
        <row r="73">
          <cell r="A73" t="str">
            <v>20100000</v>
          </cell>
          <cell r="B73" t="str">
            <v>ACCOUNTS PAYABLE</v>
          </cell>
          <cell r="C73">
            <v>-5155184.6500000004</v>
          </cell>
        </row>
        <row r="74">
          <cell r="A74" t="str">
            <v>20110000</v>
          </cell>
          <cell r="B74" t="str">
            <v>ACCRUED PAYROLL</v>
          </cell>
          <cell r="C74">
            <v>-1032322.76</v>
          </cell>
        </row>
        <row r="75">
          <cell r="A75" t="str">
            <v>20111000</v>
          </cell>
          <cell r="B75" t="str">
            <v>ACCRUED EARNED TIME OFF</v>
          </cell>
          <cell r="C75">
            <v>-1412229.08</v>
          </cell>
        </row>
        <row r="76">
          <cell r="A76" t="str">
            <v>20120000</v>
          </cell>
          <cell r="B76" t="str">
            <v>FED INCOME TAXES WITHHELD</v>
          </cell>
          <cell r="C76">
            <v>-0.2</v>
          </cell>
        </row>
        <row r="77">
          <cell r="A77" t="str">
            <v>20121000</v>
          </cell>
          <cell r="B77" t="str">
            <v>SOCIAL SECURITY WITHHELD</v>
          </cell>
          <cell r="C77">
            <v>-62906.49</v>
          </cell>
        </row>
        <row r="78">
          <cell r="A78" t="str">
            <v>20122000</v>
          </cell>
          <cell r="B78" t="str">
            <v>STATE INCOME TAXES WITHHELD</v>
          </cell>
          <cell r="C78">
            <v>0</v>
          </cell>
        </row>
        <row r="79">
          <cell r="A79" t="str">
            <v>20123000</v>
          </cell>
          <cell r="B79" t="str">
            <v>AFLAC DEDUCTIONS</v>
          </cell>
          <cell r="C79">
            <v>0</v>
          </cell>
        </row>
        <row r="80">
          <cell r="A80" t="str">
            <v>20127000</v>
          </cell>
          <cell r="B80" t="str">
            <v>PEOPLE FIRST</v>
          </cell>
          <cell r="C80">
            <v>-8449.4500000000007</v>
          </cell>
        </row>
        <row r="81">
          <cell r="A81" t="str">
            <v>20131000</v>
          </cell>
          <cell r="B81" t="str">
            <v>TSA DEDUCTIONS</v>
          </cell>
          <cell r="C81">
            <v>0</v>
          </cell>
        </row>
        <row r="82">
          <cell r="A82" t="str">
            <v>20132000</v>
          </cell>
          <cell r="B82" t="str">
            <v>DISABILITY - LONG TERM</v>
          </cell>
          <cell r="C82">
            <v>0</v>
          </cell>
        </row>
        <row r="83">
          <cell r="A83" t="str">
            <v>20133000</v>
          </cell>
          <cell r="B83" t="str">
            <v>DISABILITY - SHORT TERM</v>
          </cell>
          <cell r="C83">
            <v>-0.3</v>
          </cell>
        </row>
        <row r="84">
          <cell r="A84" t="str">
            <v>20134000</v>
          </cell>
          <cell r="B84" t="str">
            <v>DEPENDENT LIFE INSURANCE</v>
          </cell>
          <cell r="C84">
            <v>9798.31</v>
          </cell>
        </row>
        <row r="85">
          <cell r="A85" t="str">
            <v>20138000</v>
          </cell>
          <cell r="B85" t="str">
            <v>MISC PAYROLL DEDUCTION</v>
          </cell>
          <cell r="C85">
            <v>-70</v>
          </cell>
        </row>
        <row r="86">
          <cell r="A86" t="str">
            <v>20138001</v>
          </cell>
          <cell r="B86" t="str">
            <v>REC CENTER MEMBERSHIP</v>
          </cell>
          <cell r="C86">
            <v>2577.8000000000002</v>
          </cell>
        </row>
        <row r="87">
          <cell r="A87" t="str">
            <v>20141000</v>
          </cell>
          <cell r="B87" t="str">
            <v>REMITTANCE ADVICES IN TRANSIT</v>
          </cell>
          <cell r="C87">
            <v>-100334.26</v>
          </cell>
        </row>
        <row r="88">
          <cell r="A88" t="str">
            <v>20142000</v>
          </cell>
          <cell r="B88" t="str">
            <v>L.O.C. - CHITTENDEN BANK</v>
          </cell>
          <cell r="C88">
            <v>-1800000</v>
          </cell>
        </row>
        <row r="89">
          <cell r="A89" t="str">
            <v>20147200</v>
          </cell>
          <cell r="B89" t="str">
            <v>CAPITAL LEASE-CURR-TOSHIBA RAD</v>
          </cell>
          <cell r="C89">
            <v>-81607.710000000006</v>
          </cell>
        </row>
        <row r="90">
          <cell r="A90" t="str">
            <v>20147201</v>
          </cell>
          <cell r="B90" t="str">
            <v>CAPITAL LEASE-TOSHIBA CT CURR</v>
          </cell>
          <cell r="C90">
            <v>0</v>
          </cell>
        </row>
        <row r="91">
          <cell r="A91" t="str">
            <v>20147202</v>
          </cell>
          <cell r="B91" t="str">
            <v>CAPITAL LEASE-TOSHIBA 671 CURR</v>
          </cell>
          <cell r="C91">
            <v>-81879</v>
          </cell>
        </row>
        <row r="92">
          <cell r="A92" t="str">
            <v>20147300</v>
          </cell>
          <cell r="B92" t="str">
            <v>CAPITAL LEASE - GE CURR PORTIO</v>
          </cell>
          <cell r="C92">
            <v>-94020.97</v>
          </cell>
        </row>
        <row r="93">
          <cell r="A93" t="str">
            <v>20147400</v>
          </cell>
          <cell r="B93" t="str">
            <v>CAPITAL LEASE - WINTHROP TOMO</v>
          </cell>
          <cell r="C93">
            <v>-67542.899999999994</v>
          </cell>
        </row>
        <row r="94">
          <cell r="A94" t="str">
            <v>20149000</v>
          </cell>
          <cell r="B94" t="str">
            <v>CURRENT PORTION 2002 BOND</v>
          </cell>
          <cell r="C94">
            <v>-265000</v>
          </cell>
        </row>
        <row r="95">
          <cell r="A95" t="str">
            <v>20150000</v>
          </cell>
          <cell r="B95" t="str">
            <v>ACCRUED EXPENSES</v>
          </cell>
          <cell r="C95">
            <v>-100733.46</v>
          </cell>
        </row>
        <row r="96">
          <cell r="A96" t="str">
            <v>20151000</v>
          </cell>
          <cell r="B96" t="str">
            <v>FEES PAYABLE MED SPECIALISTS</v>
          </cell>
          <cell r="C96">
            <v>0</v>
          </cell>
        </row>
        <row r="97">
          <cell r="A97" t="str">
            <v>20152000</v>
          </cell>
          <cell r="B97" t="str">
            <v>ACCRUED AUDIT FEES PAYABLE</v>
          </cell>
          <cell r="C97">
            <v>-77468.42</v>
          </cell>
        </row>
        <row r="98">
          <cell r="A98" t="str">
            <v>20153000</v>
          </cell>
          <cell r="B98" t="str">
            <v>NOTE PAY CURRENT - CHITTENDEN</v>
          </cell>
          <cell r="C98">
            <v>-264201.40000000002</v>
          </cell>
        </row>
        <row r="99">
          <cell r="A99" t="str">
            <v>20154000</v>
          </cell>
          <cell r="B99" t="str">
            <v>401K PENSION ACCRUAL</v>
          </cell>
          <cell r="C99">
            <v>0</v>
          </cell>
        </row>
        <row r="100">
          <cell r="A100" t="str">
            <v>20155000</v>
          </cell>
          <cell r="B100" t="str">
            <v>DEF BENEFIT PENSION ACCRUAL</v>
          </cell>
          <cell r="C100">
            <v>-4456884.92</v>
          </cell>
        </row>
        <row r="101">
          <cell r="A101" t="str">
            <v>20157000</v>
          </cell>
          <cell r="B101" t="str">
            <v>MED STAFF BANK ACCT OFFSET</v>
          </cell>
          <cell r="C101">
            <v>-10559.28</v>
          </cell>
        </row>
        <row r="102">
          <cell r="A102" t="str">
            <v>20174000</v>
          </cell>
          <cell r="B102" t="str">
            <v>PATIENT REFUNDS</v>
          </cell>
          <cell r="C102">
            <v>-1195.1300000000001</v>
          </cell>
        </row>
        <row r="103">
          <cell r="A103" t="str">
            <v>20174037</v>
          </cell>
          <cell r="B103" t="str">
            <v>PT REFUND/SURGERY</v>
          </cell>
          <cell r="C103">
            <v>5378.32</v>
          </cell>
        </row>
        <row r="104">
          <cell r="A104" t="str">
            <v>20175000</v>
          </cell>
          <cell r="B104" t="str">
            <v>OTHER CURRENT LIABILITIES</v>
          </cell>
          <cell r="C104">
            <v>-223881.68</v>
          </cell>
        </row>
        <row r="105">
          <cell r="A105" t="str">
            <v>20176000</v>
          </cell>
          <cell r="B105" t="str">
            <v>REIMB SETTLEMENT DUE MCARE</v>
          </cell>
          <cell r="C105">
            <v>-49364.7</v>
          </cell>
        </row>
        <row r="106">
          <cell r="A106" t="str">
            <v>20178000</v>
          </cell>
          <cell r="B106" t="str">
            <v>REIMB SETTLEMENT DUE MEDICAID</v>
          </cell>
          <cell r="C106">
            <v>213100.3</v>
          </cell>
        </row>
        <row r="107">
          <cell r="A107" t="str">
            <v>20180000</v>
          </cell>
          <cell r="B107" t="str">
            <v>RESERVE SELF FUNDING INSUR</v>
          </cell>
          <cell r="C107">
            <v>-536057.63</v>
          </cell>
        </row>
        <row r="108">
          <cell r="A108" t="str">
            <v>20181000</v>
          </cell>
          <cell r="B108" t="str">
            <v>TEMPORARILY RESTRICTED TRUST</v>
          </cell>
          <cell r="C108">
            <v>-20842.439999999999</v>
          </cell>
        </row>
        <row r="109">
          <cell r="A109" t="str">
            <v>20185000</v>
          </cell>
          <cell r="B109" t="str">
            <v>RESERVE FOR CAFE-R SPENDING</v>
          </cell>
          <cell r="C109">
            <v>-52145.599999999999</v>
          </cell>
        </row>
        <row r="110">
          <cell r="A110" t="str">
            <v>20187000</v>
          </cell>
          <cell r="B110" t="str">
            <v>RESERVE FOR WORKER'S COMP</v>
          </cell>
          <cell r="C110">
            <v>-43380.72</v>
          </cell>
        </row>
        <row r="111">
          <cell r="A111" t="str">
            <v>20190000</v>
          </cell>
          <cell r="B111" t="str">
            <v>DEFERRED INCOME</v>
          </cell>
          <cell r="C111">
            <v>559212.30000000005</v>
          </cell>
        </row>
        <row r="112">
          <cell r="A112" t="str">
            <v>20195000</v>
          </cell>
          <cell r="B112" t="str">
            <v>DUE TO SMCS</v>
          </cell>
          <cell r="C112">
            <v>-1102341.73</v>
          </cell>
        </row>
        <row r="113">
          <cell r="A113" t="str">
            <v>20196000</v>
          </cell>
          <cell r="B113" t="str">
            <v>GENERAL FUND BALANCE</v>
          </cell>
          <cell r="C113">
            <v>-23037736.91</v>
          </cell>
        </row>
        <row r="114">
          <cell r="A114" t="str">
            <v>20203000</v>
          </cell>
          <cell r="B114" t="str">
            <v>NOTE PAYABLE LT  - CHITTENDEN</v>
          </cell>
          <cell r="C114">
            <v>-1847961.37</v>
          </cell>
        </row>
        <row r="115">
          <cell r="A115" t="str">
            <v>20205000</v>
          </cell>
          <cell r="B115" t="str">
            <v>NON CURRENT 2002 BOND</v>
          </cell>
          <cell r="C115">
            <v>-6400000</v>
          </cell>
        </row>
        <row r="116">
          <cell r="A116" t="str">
            <v>20207200</v>
          </cell>
          <cell r="B116" t="str">
            <v>CAPITAL LEASE-LT-TOSHIBA RADEX</v>
          </cell>
          <cell r="C116">
            <v>-14204.4</v>
          </cell>
        </row>
        <row r="117">
          <cell r="A117" t="str">
            <v>20207201</v>
          </cell>
          <cell r="B117" t="str">
            <v>CAPITAL LEASE-TOSHIBA CT LT</v>
          </cell>
          <cell r="C117">
            <v>0</v>
          </cell>
        </row>
        <row r="118">
          <cell r="A118" t="str">
            <v>20207202</v>
          </cell>
          <cell r="B118" t="str">
            <v>CAPITAL LEASE-TOSHIBA 671 LT</v>
          </cell>
          <cell r="C118">
            <v>-350009.66</v>
          </cell>
        </row>
        <row r="119">
          <cell r="A119" t="str">
            <v>20207300</v>
          </cell>
          <cell r="B119" t="str">
            <v>CAPITAL LEASE - GE LT PORTION</v>
          </cell>
          <cell r="C119">
            <v>-125018.98</v>
          </cell>
        </row>
        <row r="120">
          <cell r="A120" t="str">
            <v>20207400</v>
          </cell>
          <cell r="B120" t="str">
            <v>CAP LEASE-LT WINTHROP TOMO</v>
          </cell>
          <cell r="C120">
            <v>-178078.79</v>
          </cell>
        </row>
        <row r="121">
          <cell r="A121" t="str">
            <v>20493000</v>
          </cell>
          <cell r="B121" t="str">
            <v>TEMP RESTR NA - MAMMO GRANT</v>
          </cell>
          <cell r="C121">
            <v>-6430.22</v>
          </cell>
        </row>
        <row r="122">
          <cell r="A122" t="str">
            <v>20494000</v>
          </cell>
          <cell r="B122" t="str">
            <v>TEMP RESTRICTED-DONATIONS</v>
          </cell>
          <cell r="C122">
            <v>-47977.73</v>
          </cell>
        </row>
        <row r="123">
          <cell r="A123" t="str">
            <v>20494001</v>
          </cell>
          <cell r="B123" t="str">
            <v>UNRESTRICTED DONATIONS</v>
          </cell>
          <cell r="C123">
            <v>203</v>
          </cell>
        </row>
        <row r="124">
          <cell r="A124" t="str">
            <v>20495000</v>
          </cell>
          <cell r="B124" t="str">
            <v>SPECIFIC PURPOSE FUND BALANCE</v>
          </cell>
          <cell r="C124">
            <v>-137529.21</v>
          </cell>
        </row>
        <row r="125">
          <cell r="A125" t="str">
            <v>20511000</v>
          </cell>
          <cell r="B125" t="str">
            <v>ENDOWMENT FUND BALANCE</v>
          </cell>
          <cell r="C125">
            <v>-493491.66</v>
          </cell>
        </row>
        <row r="126">
          <cell r="A126" t="str">
            <v>20801000</v>
          </cell>
          <cell r="B126" t="str">
            <v>SELF INSUR REVENUE REVERSAL</v>
          </cell>
          <cell r="C126">
            <v>0</v>
          </cell>
        </row>
        <row r="127">
          <cell r="A127" t="str">
            <v>30000000</v>
          </cell>
          <cell r="C127">
            <v>-130.58000000000001</v>
          </cell>
        </row>
        <row r="128">
          <cell r="A128" t="str">
            <v>30000009</v>
          </cell>
          <cell r="B128" t="str">
            <v>I/P REV DAILY PAT SER M &amp; S</v>
          </cell>
          <cell r="C128">
            <v>-6262317.79</v>
          </cell>
        </row>
        <row r="129">
          <cell r="A129" t="str">
            <v>30000013</v>
          </cell>
          <cell r="B129" t="str">
            <v>I/P REV DAILY PAT SERV OBST</v>
          </cell>
          <cell r="C129">
            <v>-911395.69</v>
          </cell>
        </row>
        <row r="130">
          <cell r="A130" t="str">
            <v>30000017</v>
          </cell>
          <cell r="B130" t="str">
            <v>I/P REVENUE</v>
          </cell>
          <cell r="C130">
            <v>-1034</v>
          </cell>
        </row>
        <row r="131">
          <cell r="A131" t="str">
            <v>30000019</v>
          </cell>
          <cell r="B131" t="str">
            <v>I/P REV - PULMONARY REHAB</v>
          </cell>
          <cell r="C131">
            <v>-92</v>
          </cell>
        </row>
        <row r="132">
          <cell r="A132" t="str">
            <v>30000020</v>
          </cell>
          <cell r="B132" t="str">
            <v>I/P REVENUE - MAMMOGRAPHY</v>
          </cell>
          <cell r="C132">
            <v>-535</v>
          </cell>
        </row>
        <row r="133">
          <cell r="A133" t="str">
            <v>30000021</v>
          </cell>
          <cell r="B133" t="str">
            <v>I/P REVENUE - SURGICAL SERVICE</v>
          </cell>
          <cell r="C133">
            <v>-1491221</v>
          </cell>
        </row>
        <row r="134">
          <cell r="A134" t="str">
            <v>30000022</v>
          </cell>
          <cell r="B134" t="str">
            <v>I/P REVENUE - RECOVERY ROOM</v>
          </cell>
          <cell r="C134">
            <v>-156102</v>
          </cell>
        </row>
        <row r="135">
          <cell r="A135" t="str">
            <v>30000023</v>
          </cell>
          <cell r="B135" t="str">
            <v>I/P REVENUE - EMERGENCY ROOM</v>
          </cell>
          <cell r="C135">
            <v>0</v>
          </cell>
        </row>
        <row r="136">
          <cell r="A136" t="str">
            <v>30000024</v>
          </cell>
          <cell r="B136" t="str">
            <v>I/P REVENUE-ONE DAY SURGERY</v>
          </cell>
          <cell r="C136">
            <v>-24887</v>
          </cell>
        </row>
        <row r="137">
          <cell r="A137" t="str">
            <v>30000026</v>
          </cell>
          <cell r="B137" t="str">
            <v>I/P REV ER SERV PROF FEE</v>
          </cell>
          <cell r="C137">
            <v>0</v>
          </cell>
        </row>
        <row r="138">
          <cell r="A138" t="str">
            <v>30000028</v>
          </cell>
          <cell r="B138" t="str">
            <v>I/P REVENUE-ENDOSCOPY PROC.</v>
          </cell>
          <cell r="C138">
            <v>-70175</v>
          </cell>
        </row>
        <row r="139">
          <cell r="A139" t="str">
            <v>30000029</v>
          </cell>
          <cell r="B139" t="str">
            <v>I/P REVENUE-SPECIAL SERVICES</v>
          </cell>
          <cell r="C139">
            <v>-130176</v>
          </cell>
        </row>
        <row r="140">
          <cell r="A140" t="str">
            <v>30000036</v>
          </cell>
          <cell r="B140" t="str">
            <v>I/P REV - MRI DEPARTMENT</v>
          </cell>
          <cell r="C140">
            <v>-168445</v>
          </cell>
        </row>
        <row r="141">
          <cell r="A141" t="str">
            <v>30000037</v>
          </cell>
          <cell r="B141" t="str">
            <v>I/P REVENUE SURGEONS</v>
          </cell>
          <cell r="C141">
            <v>463</v>
          </cell>
        </row>
        <row r="142">
          <cell r="A142" t="str">
            <v>30000040</v>
          </cell>
          <cell r="B142" t="str">
            <v>I/P REV - ULTRASOUND</v>
          </cell>
          <cell r="C142">
            <v>-638342</v>
          </cell>
        </row>
        <row r="143">
          <cell r="A143" t="str">
            <v>30000041</v>
          </cell>
          <cell r="B143" t="str">
            <v>I/P REV - LAB CLINICAL</v>
          </cell>
          <cell r="C143">
            <v>-2558714.58</v>
          </cell>
        </row>
        <row r="144">
          <cell r="A144" t="str">
            <v>30000042</v>
          </cell>
          <cell r="B144" t="str">
            <v>I/P REVENUE - BLOOD BANK</v>
          </cell>
          <cell r="C144">
            <v>-147733</v>
          </cell>
        </row>
        <row r="145">
          <cell r="A145" t="str">
            <v>30000043</v>
          </cell>
          <cell r="B145" t="str">
            <v>I/P REVENUE-ELECTROCARDIOLOGY</v>
          </cell>
          <cell r="C145">
            <v>-131368</v>
          </cell>
        </row>
        <row r="146">
          <cell r="A146" t="str">
            <v>30000044</v>
          </cell>
          <cell r="B146" t="str">
            <v>I/P REV -RADIOLOGY-DIAGNOSTIC</v>
          </cell>
          <cell r="C146">
            <v>-426869</v>
          </cell>
        </row>
        <row r="147">
          <cell r="A147" t="str">
            <v>30000045</v>
          </cell>
          <cell r="B147" t="str">
            <v>I/P REVENUE - CAT SCAN</v>
          </cell>
          <cell r="C147">
            <v>-460867</v>
          </cell>
        </row>
        <row r="148">
          <cell r="A148" t="str">
            <v>30000046</v>
          </cell>
          <cell r="B148" t="str">
            <v>I/P REVENUE - NUCLEAR MEDICINE</v>
          </cell>
          <cell r="C148">
            <v>-96735</v>
          </cell>
        </row>
        <row r="149">
          <cell r="A149" t="str">
            <v>30000047</v>
          </cell>
          <cell r="B149" t="str">
            <v>I/P REVENUE-PHARMACY</v>
          </cell>
          <cell r="C149">
            <v>-1312673.3899999999</v>
          </cell>
        </row>
        <row r="150">
          <cell r="A150" t="str">
            <v>30000048</v>
          </cell>
          <cell r="B150" t="str">
            <v>I/P REVENUE-ANESTHESIOLOGY</v>
          </cell>
          <cell r="C150">
            <v>-138486.75</v>
          </cell>
        </row>
        <row r="151">
          <cell r="A151" t="str">
            <v>30000049</v>
          </cell>
          <cell r="B151" t="str">
            <v>I/P REVENUE - PHYSICAL THERAPY</v>
          </cell>
          <cell r="C151">
            <v>-364715.99</v>
          </cell>
        </row>
        <row r="152">
          <cell r="A152" t="str">
            <v>30000050</v>
          </cell>
          <cell r="B152" t="str">
            <v>I/P REVENUE - RESPIRATORY THER</v>
          </cell>
          <cell r="C152">
            <v>-1761067</v>
          </cell>
        </row>
        <row r="153">
          <cell r="A153" t="str">
            <v>30000052</v>
          </cell>
          <cell r="B153" t="str">
            <v>I/P REV - OCCUPATIONAL THERAPY</v>
          </cell>
          <cell r="C153">
            <v>-112718.09</v>
          </cell>
        </row>
        <row r="154">
          <cell r="A154" t="str">
            <v>30000058</v>
          </cell>
          <cell r="B154" t="str">
            <v>I/P ANESTH</v>
          </cell>
          <cell r="C154">
            <v>-553</v>
          </cell>
        </row>
        <row r="155">
          <cell r="A155" t="str">
            <v>30000096</v>
          </cell>
          <cell r="B155" t="str">
            <v>I/P REVENUE-HOSPITALIST</v>
          </cell>
          <cell r="C155">
            <v>-913393</v>
          </cell>
        </row>
        <row r="156">
          <cell r="A156" t="str">
            <v>30010018</v>
          </cell>
          <cell r="B156" t="str">
            <v>I/P REV PSYCHIATRY ROCKINGHAM</v>
          </cell>
          <cell r="C156">
            <v>-2989400</v>
          </cell>
        </row>
        <row r="157">
          <cell r="A157" t="str">
            <v>30010041</v>
          </cell>
          <cell r="B157" t="str">
            <v>I/P REV PSYCHE LAB</v>
          </cell>
          <cell r="C157">
            <v>0</v>
          </cell>
        </row>
        <row r="158">
          <cell r="A158" t="str">
            <v>30010044</v>
          </cell>
          <cell r="B158" t="str">
            <v>I/P REV PSYCHE XRAY</v>
          </cell>
          <cell r="C158">
            <v>-1386</v>
          </cell>
        </row>
        <row r="159">
          <cell r="A159" t="str">
            <v>30010077</v>
          </cell>
          <cell r="B159" t="str">
            <v>I/P REV LAB CLINICAL ROCKINGHA</v>
          </cell>
          <cell r="C159">
            <v>-86465.86</v>
          </cell>
        </row>
        <row r="160">
          <cell r="A160" t="str">
            <v>30010087</v>
          </cell>
          <cell r="B160" t="str">
            <v>I/P REV PHARMACY ROCKINGHAM</v>
          </cell>
          <cell r="C160">
            <v>-238159.14</v>
          </cell>
        </row>
        <row r="161">
          <cell r="A161" t="str">
            <v>30019013</v>
          </cell>
          <cell r="B161" t="str">
            <v>I/P REV LABOR AND DELIVERY</v>
          </cell>
          <cell r="C161">
            <v>-349745</v>
          </cell>
        </row>
        <row r="162">
          <cell r="A162" t="str">
            <v>30050009</v>
          </cell>
          <cell r="B162" t="str">
            <v>I/P REV:M&amp;S SUPPLIES- MED/SURG</v>
          </cell>
          <cell r="C162">
            <v>-213603.43</v>
          </cell>
        </row>
        <row r="163">
          <cell r="A163" t="str">
            <v>30050013</v>
          </cell>
          <cell r="B163" t="str">
            <v>I/P REV:M&amp;S SUPPLIES-OBSTETRIC</v>
          </cell>
          <cell r="C163">
            <v>-84459.09</v>
          </cell>
        </row>
        <row r="164">
          <cell r="A164" t="str">
            <v>30050021</v>
          </cell>
          <cell r="B164" t="str">
            <v>I/P REV:M &amp; S SUPPLIES-SURGERY</v>
          </cell>
          <cell r="C164">
            <v>-2625557.0099999998</v>
          </cell>
        </row>
        <row r="165">
          <cell r="A165" t="str">
            <v>30050022</v>
          </cell>
          <cell r="B165" t="str">
            <v>I/P REV:M &amp; S SUPPLIES-RECOVER</v>
          </cell>
          <cell r="C165">
            <v>-698.6</v>
          </cell>
        </row>
        <row r="166">
          <cell r="A166" t="str">
            <v>30050023</v>
          </cell>
          <cell r="B166" t="str">
            <v>I/P REV:M&amp;S SUPPLIES-EMERGENCY</v>
          </cell>
          <cell r="C166">
            <v>0</v>
          </cell>
        </row>
        <row r="167">
          <cell r="A167" t="str">
            <v>30050024</v>
          </cell>
          <cell r="B167" t="str">
            <v>I/P REV:M&amp;S SUPPLIES-ONE DAY S</v>
          </cell>
          <cell r="C167">
            <v>-6764.9</v>
          </cell>
        </row>
        <row r="168">
          <cell r="A168" t="str">
            <v>30050028</v>
          </cell>
          <cell r="B168" t="str">
            <v>I/P REV:M&amp;S SUPPLIES-SPC PRCDR</v>
          </cell>
          <cell r="C168">
            <v>-13562.64</v>
          </cell>
        </row>
        <row r="169">
          <cell r="A169" t="str">
            <v>30050029</v>
          </cell>
          <cell r="B169" t="str">
            <v>I/P REV:M&amp;S SUPPLIES-SPC SRVOP</v>
          </cell>
          <cell r="C169">
            <v>-7640.8</v>
          </cell>
        </row>
        <row r="170">
          <cell r="A170" t="str">
            <v>30050043</v>
          </cell>
          <cell r="B170" t="str">
            <v>I/P REV:SUPPLIES-ELCTROCARDIOL</v>
          </cell>
          <cell r="C170">
            <v>-217.64</v>
          </cell>
        </row>
        <row r="171">
          <cell r="A171" t="str">
            <v>30050044</v>
          </cell>
          <cell r="B171" t="str">
            <v>I/P REV:SUPPLIES-RADIOLOGY-DIA</v>
          </cell>
          <cell r="C171">
            <v>-47680.1</v>
          </cell>
        </row>
        <row r="172">
          <cell r="A172" t="str">
            <v>30050045</v>
          </cell>
          <cell r="B172" t="str">
            <v>I/P REV:SUPPLIES-CAT SCAN</v>
          </cell>
          <cell r="C172">
            <v>-16.100000000000001</v>
          </cell>
        </row>
        <row r="173">
          <cell r="A173" t="str">
            <v>30050047</v>
          </cell>
          <cell r="B173" t="str">
            <v>I/P REV:SUPPLIES- PHARMACY</v>
          </cell>
          <cell r="C173">
            <v>-53867.81</v>
          </cell>
        </row>
        <row r="174">
          <cell r="A174" t="str">
            <v>30050048</v>
          </cell>
          <cell r="B174" t="str">
            <v>I/P REV:SUPPLIES-ANESTHESIOLOG</v>
          </cell>
          <cell r="C174">
            <v>-56438.2</v>
          </cell>
        </row>
        <row r="175">
          <cell r="A175" t="str">
            <v>30050049</v>
          </cell>
          <cell r="B175" t="str">
            <v>I/P REV:SUPPLIES- PHYS THERAPY</v>
          </cell>
          <cell r="C175">
            <v>-770.15</v>
          </cell>
        </row>
        <row r="176">
          <cell r="A176" t="str">
            <v>30050050</v>
          </cell>
          <cell r="B176" t="str">
            <v>I/P REV:SUPPLIES-RESP THERAPY</v>
          </cell>
          <cell r="C176">
            <v>-68171.45</v>
          </cell>
        </row>
        <row r="177">
          <cell r="A177" t="str">
            <v>30050052</v>
          </cell>
          <cell r="B177" t="str">
            <v>I/P REV:SUPPLIES-OCCUPATNL THR</v>
          </cell>
          <cell r="C177">
            <v>-47.8</v>
          </cell>
        </row>
        <row r="178">
          <cell r="A178" t="str">
            <v>30060018</v>
          </cell>
          <cell r="B178" t="str">
            <v>I/P REV SUPPLIES PSYCH ROCKING</v>
          </cell>
          <cell r="C178">
            <v>-12483.25</v>
          </cell>
        </row>
        <row r="179">
          <cell r="A179" t="str">
            <v>30060023</v>
          </cell>
          <cell r="B179" t="str">
            <v>I/P PSYCHE REVENUE</v>
          </cell>
          <cell r="C179">
            <v>-16.100000000000001</v>
          </cell>
        </row>
        <row r="180">
          <cell r="A180" t="str">
            <v>30060044</v>
          </cell>
          <cell r="B180" t="str">
            <v>I/P PSYCHE REVENUE</v>
          </cell>
          <cell r="C180">
            <v>-268.7</v>
          </cell>
        </row>
        <row r="181">
          <cell r="A181" t="str">
            <v>30100001</v>
          </cell>
          <cell r="B181" t="str">
            <v>O/P REVENUE - CHESTER FAMILY</v>
          </cell>
          <cell r="C181">
            <v>0</v>
          </cell>
        </row>
        <row r="182">
          <cell r="A182" t="str">
            <v>30100009</v>
          </cell>
          <cell r="B182" t="str">
            <v>O/P REVENUE-MED-SURG</v>
          </cell>
          <cell r="C182">
            <v>-737015.05</v>
          </cell>
        </row>
        <row r="183">
          <cell r="A183" t="str">
            <v>30100013</v>
          </cell>
          <cell r="B183" t="str">
            <v>O/P REV OB/GYN</v>
          </cell>
          <cell r="C183">
            <v>-65919.289999999994</v>
          </cell>
        </row>
        <row r="184">
          <cell r="A184" t="str">
            <v>30100015</v>
          </cell>
          <cell r="B184" t="str">
            <v>O/P REVENUE-ENT</v>
          </cell>
          <cell r="C184">
            <v>-757836.80000000005</v>
          </cell>
        </row>
        <row r="185">
          <cell r="A185" t="str">
            <v>30100017</v>
          </cell>
          <cell r="B185" t="str">
            <v>O/P REVENUE</v>
          </cell>
          <cell r="C185">
            <v>-2424815.11</v>
          </cell>
        </row>
        <row r="186">
          <cell r="A186" t="str">
            <v>30100019</v>
          </cell>
          <cell r="B186" t="str">
            <v>O/P REV - PULMONARY REHAB</v>
          </cell>
          <cell r="C186">
            <v>-69965</v>
          </cell>
        </row>
        <row r="187">
          <cell r="A187" t="str">
            <v>30100020</v>
          </cell>
          <cell r="B187" t="str">
            <v>O/P REVENUE - MAMMOGRAPHY</v>
          </cell>
          <cell r="C187">
            <v>-796339.75</v>
          </cell>
        </row>
        <row r="188">
          <cell r="A188" t="str">
            <v>30100021</v>
          </cell>
          <cell r="B188" t="str">
            <v>O/P REVENUE - SURGICAL SERVICE</v>
          </cell>
          <cell r="C188">
            <v>-4291497.38</v>
          </cell>
        </row>
        <row r="189">
          <cell r="A189" t="str">
            <v>30100022</v>
          </cell>
          <cell r="B189" t="str">
            <v>O/P REVENUE - RECOVERY ROOM</v>
          </cell>
          <cell r="C189">
            <v>-333329.25</v>
          </cell>
        </row>
        <row r="190">
          <cell r="A190" t="str">
            <v>30100023</v>
          </cell>
          <cell r="B190" t="str">
            <v>O/P REVENUE - EMERGENCY ROOM</v>
          </cell>
          <cell r="C190">
            <v>-10341067.029999999</v>
          </cell>
        </row>
        <row r="191">
          <cell r="A191" t="str">
            <v>30100024</v>
          </cell>
          <cell r="B191" t="str">
            <v>O/P REVENUE - ONE DAY SURGERY</v>
          </cell>
          <cell r="C191">
            <v>-560860.48</v>
          </cell>
        </row>
        <row r="192">
          <cell r="A192" t="str">
            <v>30100025</v>
          </cell>
          <cell r="B192" t="str">
            <v>O/P REVENUE- UROLOGY</v>
          </cell>
          <cell r="C192">
            <v>0</v>
          </cell>
        </row>
        <row r="193">
          <cell r="A193" t="str">
            <v>30100026</v>
          </cell>
          <cell r="B193" t="str">
            <v>O/P ER SERV PROF FEE</v>
          </cell>
          <cell r="C193">
            <v>-5106583.28</v>
          </cell>
        </row>
        <row r="194">
          <cell r="A194" t="str">
            <v>30100028</v>
          </cell>
          <cell r="B194" t="str">
            <v>O/P REVENUE-ENDOSCOPY PROC.</v>
          </cell>
          <cell r="C194">
            <v>-1752492.78</v>
          </cell>
        </row>
        <row r="195">
          <cell r="A195" t="str">
            <v>30100029</v>
          </cell>
          <cell r="B195" t="str">
            <v>O/P REVENUE-SPECIAL SERVICES</v>
          </cell>
          <cell r="C195">
            <v>-2237027.29</v>
          </cell>
        </row>
        <row r="196">
          <cell r="A196" t="str">
            <v>30100036</v>
          </cell>
          <cell r="B196" t="str">
            <v>O/P REV - MRI</v>
          </cell>
          <cell r="C196">
            <v>-1917407.69</v>
          </cell>
        </row>
        <row r="197">
          <cell r="A197" t="str">
            <v>30100037</v>
          </cell>
          <cell r="B197" t="str">
            <v>O/P REVENUE</v>
          </cell>
          <cell r="C197">
            <v>-2051205.5</v>
          </cell>
        </row>
        <row r="198">
          <cell r="A198" t="str">
            <v>30100040</v>
          </cell>
          <cell r="B198" t="str">
            <v>O/P REV - ULTRASOUND</v>
          </cell>
          <cell r="C198">
            <v>-3632460.29</v>
          </cell>
        </row>
        <row r="199">
          <cell r="A199" t="str">
            <v>30100041</v>
          </cell>
          <cell r="B199" t="str">
            <v>O/P REV-LAB CLINICAL</v>
          </cell>
          <cell r="C199">
            <v>-14527048.93</v>
          </cell>
        </row>
        <row r="200">
          <cell r="A200" t="str">
            <v>30100042</v>
          </cell>
          <cell r="B200" t="str">
            <v>O/P REVENUE-BLOOD BANK</v>
          </cell>
          <cell r="C200">
            <v>-333823</v>
          </cell>
        </row>
        <row r="201">
          <cell r="A201" t="str">
            <v>30100043</v>
          </cell>
          <cell r="B201" t="str">
            <v>O/P REV - ELECTROCARDIOLOGY</v>
          </cell>
          <cell r="C201">
            <v>-1161315.3600000001</v>
          </cell>
        </row>
        <row r="202">
          <cell r="A202" t="str">
            <v>30100044</v>
          </cell>
          <cell r="B202" t="str">
            <v>O/P REV - RADIOLOGY-DIAG:IN-HS</v>
          </cell>
          <cell r="C202">
            <v>-3706264.48</v>
          </cell>
        </row>
        <row r="203">
          <cell r="A203" t="str">
            <v>30100045</v>
          </cell>
          <cell r="B203" t="str">
            <v>O/P REVENUE - CAT SCAN</v>
          </cell>
          <cell r="C203">
            <v>-8364808.1100000003</v>
          </cell>
        </row>
        <row r="204">
          <cell r="A204" t="str">
            <v>30100046</v>
          </cell>
          <cell r="B204" t="str">
            <v>O/P REVENUE- NUCLEAR MEDICINE</v>
          </cell>
          <cell r="C204">
            <v>-764329.13</v>
          </cell>
        </row>
        <row r="205">
          <cell r="A205" t="str">
            <v>30100047</v>
          </cell>
          <cell r="B205" t="str">
            <v>O/P REVENUE - PHARMACY</v>
          </cell>
          <cell r="C205">
            <v>-5318107.32</v>
          </cell>
        </row>
        <row r="206">
          <cell r="A206" t="str">
            <v>30100048</v>
          </cell>
          <cell r="B206" t="str">
            <v>O/P REVENUE - ANESTHESIOLOGY</v>
          </cell>
          <cell r="C206">
            <v>-341136.15</v>
          </cell>
        </row>
        <row r="207">
          <cell r="A207" t="str">
            <v>30100049</v>
          </cell>
          <cell r="B207" t="str">
            <v>O/P REVENUE - PHYSICAL THERAPY</v>
          </cell>
          <cell r="C207">
            <v>-1067092.08</v>
          </cell>
        </row>
        <row r="208">
          <cell r="A208" t="str">
            <v>30100050</v>
          </cell>
          <cell r="B208" t="str">
            <v>O/P REVENUE-RESP THERAPY</v>
          </cell>
          <cell r="C208">
            <v>-455822</v>
          </cell>
        </row>
        <row r="209">
          <cell r="A209" t="str">
            <v>30100052</v>
          </cell>
          <cell r="B209" t="str">
            <v>O/P REV - OCCUPATIONAL THERAPY</v>
          </cell>
          <cell r="C209">
            <v>-251226.57</v>
          </cell>
        </row>
        <row r="210">
          <cell r="A210" t="str">
            <v>30100058</v>
          </cell>
          <cell r="B210" t="str">
            <v>O/P REVENUE - ANES. PHYSICIANS</v>
          </cell>
          <cell r="C210">
            <v>-1236853</v>
          </cell>
        </row>
        <row r="211">
          <cell r="A211" t="str">
            <v>30100081</v>
          </cell>
          <cell r="B211" t="str">
            <v>O/P REV - BONE DENSITY</v>
          </cell>
          <cell r="C211">
            <v>0</v>
          </cell>
        </row>
        <row r="212">
          <cell r="A212" t="str">
            <v>30100084</v>
          </cell>
          <cell r="B212" t="str">
            <v>O/P REVENUE PT BF</v>
          </cell>
          <cell r="C212">
            <v>-357940.41</v>
          </cell>
        </row>
        <row r="213">
          <cell r="A213" t="str">
            <v>30105017</v>
          </cell>
          <cell r="B213" t="str">
            <v>O/P OTHER PROF SVC</v>
          </cell>
          <cell r="C213">
            <v>-1531021.1</v>
          </cell>
        </row>
        <row r="214">
          <cell r="A214" t="str">
            <v>30110058</v>
          </cell>
          <cell r="B214" t="str">
            <v>I/P REVENUE - ANES PHYSICIANS</v>
          </cell>
          <cell r="C214">
            <v>-134931</v>
          </cell>
        </row>
        <row r="215">
          <cell r="A215" t="str">
            <v>30110084</v>
          </cell>
          <cell r="B215" t="str">
            <v>O/P REV PHYSICAL THERAPY ROCKI</v>
          </cell>
          <cell r="C215">
            <v>-85914.4</v>
          </cell>
        </row>
        <row r="216">
          <cell r="A216" t="str">
            <v>30110087</v>
          </cell>
          <cell r="B216" t="str">
            <v>O/P REV PHARMACY ROCKINGHAM</v>
          </cell>
          <cell r="C216">
            <v>0</v>
          </cell>
        </row>
        <row r="217">
          <cell r="A217" t="str">
            <v>30119013</v>
          </cell>
          <cell r="B217" t="str">
            <v>O/P REV LABOR AND DELIVERY</v>
          </cell>
          <cell r="C217">
            <v>-35534</v>
          </cell>
        </row>
        <row r="218">
          <cell r="A218" t="str">
            <v>30150009</v>
          </cell>
          <cell r="B218" t="str">
            <v>O/P REV:M&amp;S SUPPLIES-MED/SURG</v>
          </cell>
          <cell r="C218">
            <v>-30970.93</v>
          </cell>
        </row>
        <row r="219">
          <cell r="A219" t="str">
            <v>30150013</v>
          </cell>
          <cell r="B219" t="str">
            <v>O/P REV:M&amp;S SUPPLIES-OBSTETRIC</v>
          </cell>
          <cell r="C219">
            <v>-14767.3</v>
          </cell>
        </row>
        <row r="220">
          <cell r="A220" t="str">
            <v>30150018</v>
          </cell>
          <cell r="B220" t="str">
            <v>O/P REV:M&amp;S SUPPLIES</v>
          </cell>
          <cell r="C220">
            <v>-150.44999999999999</v>
          </cell>
        </row>
        <row r="221">
          <cell r="A221" t="str">
            <v>30150020</v>
          </cell>
          <cell r="B221" t="str">
            <v>O/P REV: M&amp;S SUPPLIES - MAMMO</v>
          </cell>
          <cell r="C221">
            <v>-10388.9</v>
          </cell>
        </row>
        <row r="222">
          <cell r="A222" t="str">
            <v>30150021</v>
          </cell>
          <cell r="B222" t="str">
            <v>O/P REV:M &amp; S SUPPLIES-SURGERY</v>
          </cell>
          <cell r="C222">
            <v>-1782479.57</v>
          </cell>
        </row>
        <row r="223">
          <cell r="A223" t="str">
            <v>30150022</v>
          </cell>
          <cell r="B223" t="str">
            <v>O/P REV:M &amp; S SUPPLIES-RECOVER</v>
          </cell>
          <cell r="C223">
            <v>-2422.3000000000002</v>
          </cell>
        </row>
        <row r="224">
          <cell r="A224" t="str">
            <v>30150023</v>
          </cell>
          <cell r="B224" t="str">
            <v>O/P REV:M&amp;S SUPPLIES-EMERGENCY</v>
          </cell>
          <cell r="C224">
            <v>-473699.51</v>
          </cell>
        </row>
        <row r="225">
          <cell r="A225" t="str">
            <v>30150024</v>
          </cell>
          <cell r="B225" t="str">
            <v>O/P REV:M&amp;S SUPPLIES-ONE DAY S</v>
          </cell>
          <cell r="C225">
            <v>-58333.53</v>
          </cell>
        </row>
        <row r="226">
          <cell r="A226" t="str">
            <v>30150028</v>
          </cell>
          <cell r="B226" t="str">
            <v>O/P REV:M&amp;S SUPPLIES-SPC PRCDR</v>
          </cell>
          <cell r="C226">
            <v>-297778.31</v>
          </cell>
        </row>
        <row r="227">
          <cell r="A227" t="str">
            <v>30150029</v>
          </cell>
          <cell r="B227" t="str">
            <v>O/P REV:M&amp;S SUPPLIES-SPC SRVOP</v>
          </cell>
          <cell r="C227">
            <v>-49152.45</v>
          </cell>
        </row>
        <row r="228">
          <cell r="A228" t="str">
            <v>30150041</v>
          </cell>
          <cell r="B228" t="str">
            <v>O/P REV:M&amp;S SUPPLIES-LAB-CLNCL</v>
          </cell>
          <cell r="C228">
            <v>-747</v>
          </cell>
        </row>
        <row r="229">
          <cell r="A229" t="str">
            <v>30150043</v>
          </cell>
          <cell r="B229" t="str">
            <v>O/P REV:SUPPLIES-ELECTROCARDIO</v>
          </cell>
          <cell r="C229">
            <v>-4546.37</v>
          </cell>
        </row>
        <row r="230">
          <cell r="A230" t="str">
            <v>30150044</v>
          </cell>
          <cell r="B230" t="str">
            <v>O/P REV:SUPPLIES-RADIOLOGY-DIA</v>
          </cell>
          <cell r="C230">
            <v>-470266.01</v>
          </cell>
        </row>
        <row r="231">
          <cell r="A231" t="str">
            <v>30150045</v>
          </cell>
          <cell r="B231" t="str">
            <v>O/P REV:SUPPLIES-CAT SCAN</v>
          </cell>
          <cell r="C231">
            <v>-53.05</v>
          </cell>
        </row>
        <row r="232">
          <cell r="A232" t="str">
            <v>30150047</v>
          </cell>
          <cell r="B232" t="str">
            <v>O/P REV:SUPPLIES- PHARMACY</v>
          </cell>
          <cell r="C232">
            <v>-84844.6</v>
          </cell>
        </row>
        <row r="233">
          <cell r="A233" t="str">
            <v>30150048</v>
          </cell>
          <cell r="B233" t="str">
            <v>O/P REV:SUPPLIES-ANESTHESIOLOG</v>
          </cell>
          <cell r="C233">
            <v>-78674.67</v>
          </cell>
        </row>
        <row r="234">
          <cell r="A234" t="str">
            <v>30150049</v>
          </cell>
          <cell r="B234" t="str">
            <v>O/P REV:SUPPLIES-PHYS THERAPY</v>
          </cell>
          <cell r="C234">
            <v>-7650.5</v>
          </cell>
        </row>
        <row r="235">
          <cell r="A235" t="str">
            <v>30150050</v>
          </cell>
          <cell r="B235" t="str">
            <v>O/P REV:SUPPLIES-RESP THERAPY</v>
          </cell>
          <cell r="C235">
            <v>-50429.9</v>
          </cell>
        </row>
        <row r="236">
          <cell r="A236" t="str">
            <v>30150052</v>
          </cell>
          <cell r="B236" t="str">
            <v>O/P REV:SUPPLIES-OCCUPATNL THR</v>
          </cell>
          <cell r="C236">
            <v>-19.399999999999999</v>
          </cell>
        </row>
        <row r="237">
          <cell r="A237" t="str">
            <v>30150084</v>
          </cell>
          <cell r="B237" t="str">
            <v>O/P SUPPLIES - BF PT</v>
          </cell>
          <cell r="C237">
            <v>-409.2</v>
          </cell>
        </row>
        <row r="238">
          <cell r="A238" t="str">
            <v>40012015</v>
          </cell>
          <cell r="B238" t="str">
            <v>STAFF/CLERICAL - ENT</v>
          </cell>
          <cell r="C238">
            <v>1962</v>
          </cell>
        </row>
        <row r="239">
          <cell r="A239" t="str">
            <v>40012018</v>
          </cell>
          <cell r="B239" t="str">
            <v>STAFF/CLERICAL WINDHAM CTR</v>
          </cell>
          <cell r="C239">
            <v>24189.96</v>
          </cell>
        </row>
        <row r="240">
          <cell r="A240" t="str">
            <v>40012023</v>
          </cell>
          <cell r="B240" t="str">
            <v>STAFF/CLERICAL ER</v>
          </cell>
          <cell r="C240">
            <v>7661.43</v>
          </cell>
        </row>
        <row r="241">
          <cell r="A241" t="str">
            <v>40012057</v>
          </cell>
          <cell r="B241" t="str">
            <v>STAFF/CLERICAL MED RECORDS</v>
          </cell>
          <cell r="C241">
            <v>11707.8</v>
          </cell>
        </row>
        <row r="242">
          <cell r="A242" t="str">
            <v>40012060</v>
          </cell>
          <cell r="B242" t="str">
            <v>STAFF/CLERICAL ADM</v>
          </cell>
          <cell r="C242">
            <v>210069</v>
          </cell>
        </row>
        <row r="243">
          <cell r="A243" t="str">
            <v>40012061</v>
          </cell>
          <cell r="B243" t="str">
            <v>STAFF/CLERICAL-HR</v>
          </cell>
          <cell r="C243">
            <v>176337</v>
          </cell>
        </row>
        <row r="244">
          <cell r="A244" t="str">
            <v>40012062</v>
          </cell>
          <cell r="B244" t="str">
            <v>STAFF/CLERICAL-QR</v>
          </cell>
          <cell r="C244">
            <v>221127</v>
          </cell>
        </row>
        <row r="245">
          <cell r="A245" t="str">
            <v>40012065</v>
          </cell>
          <cell r="B245" t="str">
            <v>STAFF/CLERICAL PUBLIC RELATI</v>
          </cell>
          <cell r="C245">
            <v>23964</v>
          </cell>
        </row>
        <row r="246">
          <cell r="A246" t="str">
            <v>40012069</v>
          </cell>
          <cell r="B246" t="str">
            <v>STAFF/CLERICAL-PRACTICE OP</v>
          </cell>
          <cell r="C246">
            <v>39217</v>
          </cell>
        </row>
        <row r="247">
          <cell r="A247" t="str">
            <v>40012083</v>
          </cell>
          <cell r="B247" t="str">
            <v>STAFF/CLERICAL-ENG</v>
          </cell>
          <cell r="C247">
            <v>263485</v>
          </cell>
        </row>
        <row r="248">
          <cell r="A248" t="str">
            <v>40012089</v>
          </cell>
          <cell r="B248" t="str">
            <v>STAFF/CLERICAL REGISTRATION</v>
          </cell>
          <cell r="C248">
            <v>7593.62</v>
          </cell>
        </row>
        <row r="249">
          <cell r="A249" t="str">
            <v>40012090</v>
          </cell>
          <cell r="B249" t="str">
            <v>CLERICAL-OTHER ADMIN</v>
          </cell>
          <cell r="C249">
            <v>95277.83</v>
          </cell>
        </row>
        <row r="250">
          <cell r="A250" t="str">
            <v>40012091</v>
          </cell>
          <cell r="B250" t="str">
            <v>STAFF/CLERICAL-MMIS</v>
          </cell>
          <cell r="C250">
            <v>234350</v>
          </cell>
        </row>
        <row r="251">
          <cell r="A251" t="str">
            <v>40012092</v>
          </cell>
          <cell r="B251" t="str">
            <v>STAFF/CLERICAL-ACCT</v>
          </cell>
          <cell r="C251">
            <v>354441</v>
          </cell>
        </row>
        <row r="252">
          <cell r="A252" t="str">
            <v>40012093</v>
          </cell>
          <cell r="B252" t="str">
            <v>STAFF/CLERICAL-FISCAL ADM</v>
          </cell>
          <cell r="C252">
            <v>212062.53</v>
          </cell>
        </row>
        <row r="253">
          <cell r="A253" t="str">
            <v>40012097</v>
          </cell>
          <cell r="B253" t="str">
            <v>CLERICAL/ VOLUNTEERS</v>
          </cell>
          <cell r="C253">
            <v>110966</v>
          </cell>
        </row>
        <row r="254">
          <cell r="A254" t="str">
            <v>40015002</v>
          </cell>
          <cell r="B254" t="str">
            <v>OTHER EMP CLASS-RMG</v>
          </cell>
          <cell r="C254">
            <v>0</v>
          </cell>
        </row>
        <row r="255">
          <cell r="A255" t="str">
            <v>40015008</v>
          </cell>
          <cell r="B255" t="str">
            <v>OTHER EMP CLASS-PAT CARE SVCS.</v>
          </cell>
          <cell r="C255">
            <v>124291.18</v>
          </cell>
        </row>
        <row r="256">
          <cell r="A256" t="str">
            <v>40015009</v>
          </cell>
          <cell r="B256" t="str">
            <v>OTHER EMP. CLASS-MED/SURG I</v>
          </cell>
          <cell r="C256">
            <v>2560727.64</v>
          </cell>
        </row>
        <row r="257">
          <cell r="A257" t="str">
            <v>40015013</v>
          </cell>
          <cell r="B257" t="str">
            <v>OTHER EMP. CLASS-OBSTETRICS</v>
          </cell>
          <cell r="C257">
            <v>849899.03</v>
          </cell>
        </row>
        <row r="258">
          <cell r="A258" t="str">
            <v>40015015</v>
          </cell>
          <cell r="B258" t="str">
            <v>OTHER EMP. CLASS - ENT</v>
          </cell>
          <cell r="C258">
            <v>59557.43</v>
          </cell>
        </row>
        <row r="259">
          <cell r="A259" t="str">
            <v>40015017</v>
          </cell>
          <cell r="B259" t="str">
            <v>OTHER EMPL CLASS-CVOSM</v>
          </cell>
          <cell r="C259">
            <v>337880.9</v>
          </cell>
        </row>
        <row r="260">
          <cell r="A260" t="str">
            <v>40015018</v>
          </cell>
          <cell r="B260" t="str">
            <v>OTHER EMP CLASS-RMH-PSYCHIATRY</v>
          </cell>
          <cell r="C260">
            <v>1424299.85</v>
          </cell>
        </row>
        <row r="261">
          <cell r="A261" t="str">
            <v>40015019</v>
          </cell>
          <cell r="B261" t="str">
            <v>OTHER EMP. CLASS-PULM REHAB</v>
          </cell>
          <cell r="C261">
            <v>48143.16</v>
          </cell>
        </row>
        <row r="262">
          <cell r="A262" t="str">
            <v>40015020</v>
          </cell>
          <cell r="B262" t="str">
            <v>OTHER EMP. CLASS - MAMMO</v>
          </cell>
          <cell r="C262">
            <v>264540.53000000003</v>
          </cell>
        </row>
        <row r="263">
          <cell r="A263" t="str">
            <v>40015021</v>
          </cell>
          <cell r="B263" t="str">
            <v>OTHER EMP. CLASS-SURGICAL SVC</v>
          </cell>
          <cell r="C263">
            <v>662474.16</v>
          </cell>
        </row>
        <row r="264">
          <cell r="A264" t="str">
            <v>40015022</v>
          </cell>
          <cell r="B264" t="str">
            <v>OTHER EMP. CLASS-RECOVERY RM</v>
          </cell>
          <cell r="C264">
            <v>112503.4</v>
          </cell>
        </row>
        <row r="265">
          <cell r="A265" t="str">
            <v>40015023</v>
          </cell>
          <cell r="B265" t="str">
            <v>OTHER EMP. CLASS-EMERGENCY SVC</v>
          </cell>
          <cell r="C265">
            <v>1767392.36</v>
          </cell>
        </row>
        <row r="266">
          <cell r="A266" t="str">
            <v>40015024</v>
          </cell>
          <cell r="B266" t="str">
            <v>OTHER EMP. CLASS-ONE DAY SRGY</v>
          </cell>
          <cell r="C266">
            <v>311127.95</v>
          </cell>
        </row>
        <row r="267">
          <cell r="A267" t="str">
            <v>40015027</v>
          </cell>
          <cell r="B267" t="str">
            <v>OTHER EMP. CLASS-CENTRAL SVC</v>
          </cell>
          <cell r="C267">
            <v>46378.04</v>
          </cell>
        </row>
        <row r="268">
          <cell r="A268" t="str">
            <v>40015028</v>
          </cell>
          <cell r="B268" t="str">
            <v>OTHER EMP CLASS SPEC PROCEDURE</v>
          </cell>
          <cell r="C268">
            <v>268965.32</v>
          </cell>
        </row>
        <row r="269">
          <cell r="A269" t="str">
            <v>40015029</v>
          </cell>
          <cell r="B269" t="str">
            <v>OTHER EMP.CLASS-SPEC.SERVICES</v>
          </cell>
          <cell r="C269">
            <v>234519.19</v>
          </cell>
        </row>
        <row r="270">
          <cell r="A270" t="str">
            <v>40015037</v>
          </cell>
          <cell r="B270" t="str">
            <v>OTHER EMP CLASS</v>
          </cell>
          <cell r="C270">
            <v>140332.63</v>
          </cell>
        </row>
        <row r="271">
          <cell r="A271" t="str">
            <v>40015040</v>
          </cell>
          <cell r="B271" t="str">
            <v>OTHER EMP CLASS-ULTRASOUND</v>
          </cell>
          <cell r="C271">
            <v>242420.18</v>
          </cell>
        </row>
        <row r="272">
          <cell r="A272" t="str">
            <v>40015041</v>
          </cell>
          <cell r="B272" t="str">
            <v>OTHER EMPL CLASS-LAB</v>
          </cell>
          <cell r="C272">
            <v>1114381.1200000001</v>
          </cell>
        </row>
        <row r="273">
          <cell r="A273" t="str">
            <v>40015044</v>
          </cell>
          <cell r="B273" t="str">
            <v>OTHER EMP. CLASS-RADIOLOGY</v>
          </cell>
          <cell r="C273">
            <v>685239.44</v>
          </cell>
        </row>
        <row r="274">
          <cell r="A274" t="str">
            <v>40015045</v>
          </cell>
          <cell r="B274" t="str">
            <v>OTHER EMP CLASS-CATSCAN</v>
          </cell>
          <cell r="C274">
            <v>240325.96</v>
          </cell>
        </row>
        <row r="275">
          <cell r="A275" t="str">
            <v>40015046</v>
          </cell>
          <cell r="B275" t="str">
            <v>OTHER EMP. CLASS-NUCLEAR MED</v>
          </cell>
          <cell r="C275">
            <v>72482.3</v>
          </cell>
        </row>
        <row r="276">
          <cell r="A276" t="str">
            <v>40015047</v>
          </cell>
          <cell r="B276" t="str">
            <v>OTHER EMP. CLASS-PHARMACY</v>
          </cell>
          <cell r="C276">
            <v>715716.3</v>
          </cell>
        </row>
        <row r="277">
          <cell r="A277" t="str">
            <v>40015048</v>
          </cell>
          <cell r="B277" t="str">
            <v>OTHER EMP. CLASS-ANESTH</v>
          </cell>
          <cell r="C277">
            <v>44438.94</v>
          </cell>
        </row>
        <row r="278">
          <cell r="A278" t="str">
            <v>40015049</v>
          </cell>
          <cell r="B278" t="str">
            <v>OTHER EMP. CLASS-PHY THERAPY</v>
          </cell>
          <cell r="C278">
            <v>503903.09</v>
          </cell>
        </row>
        <row r="279">
          <cell r="A279" t="str">
            <v>40015050</v>
          </cell>
          <cell r="B279" t="str">
            <v>OTHER EMP. CLASS-RESP THPY</v>
          </cell>
          <cell r="C279">
            <v>375391.87</v>
          </cell>
        </row>
        <row r="280">
          <cell r="A280" t="str">
            <v>40015054</v>
          </cell>
          <cell r="B280" t="str">
            <v>OTHER EMP. CLASS-SOCIAL SERV</v>
          </cell>
          <cell r="C280">
            <v>53586.93</v>
          </cell>
        </row>
        <row r="281">
          <cell r="A281" t="str">
            <v>40015055</v>
          </cell>
          <cell r="B281" t="str">
            <v>OTHER EMP CLASS</v>
          </cell>
          <cell r="C281">
            <v>182211.71</v>
          </cell>
        </row>
        <row r="282">
          <cell r="A282" t="str">
            <v>40015057</v>
          </cell>
          <cell r="B282" t="str">
            <v>OTHER EMP. CLASS-MED RECORDS</v>
          </cell>
          <cell r="C282">
            <v>275959.53999999998</v>
          </cell>
        </row>
        <row r="283">
          <cell r="A283" t="str">
            <v>40015062</v>
          </cell>
          <cell r="B283" t="str">
            <v>OTHER EMP CLASSES-QUALITY ASR</v>
          </cell>
          <cell r="C283">
            <v>155517.29</v>
          </cell>
        </row>
        <row r="284">
          <cell r="A284" t="str">
            <v>40015063</v>
          </cell>
          <cell r="B284" t="str">
            <v>OTHER EMP. CLASS-COMMUNICATION</v>
          </cell>
          <cell r="C284">
            <v>84328.4</v>
          </cell>
        </row>
        <row r="285">
          <cell r="A285" t="str">
            <v>40015064</v>
          </cell>
          <cell r="B285" t="str">
            <v>OTHER EMP. CLASS-PUR &amp; STORE</v>
          </cell>
          <cell r="C285">
            <v>146997.78</v>
          </cell>
        </row>
        <row r="286">
          <cell r="A286" t="str">
            <v>40015069</v>
          </cell>
          <cell r="B286" t="str">
            <v>OTHER EMPL CLASS-PRACTICE OPER</v>
          </cell>
          <cell r="C286">
            <v>84093.25</v>
          </cell>
        </row>
        <row r="287">
          <cell r="A287" t="str">
            <v>40015072</v>
          </cell>
          <cell r="B287" t="str">
            <v>OTHER EMP CLASS-RMH-MED RECORD</v>
          </cell>
          <cell r="C287">
            <v>47904.26</v>
          </cell>
        </row>
        <row r="288">
          <cell r="A288" t="str">
            <v>40015073</v>
          </cell>
          <cell r="B288" t="str">
            <v>OTHER EMP. CLASS-DAYCARE SPFLD</v>
          </cell>
          <cell r="C288">
            <v>424112.52</v>
          </cell>
        </row>
        <row r="289">
          <cell r="A289" t="str">
            <v>40015076</v>
          </cell>
          <cell r="B289" t="str">
            <v>OTHER EMP. CLASS-ED/HOSP WIDE</v>
          </cell>
          <cell r="C289">
            <v>239440.84</v>
          </cell>
        </row>
        <row r="290">
          <cell r="A290" t="str">
            <v>40015080</v>
          </cell>
          <cell r="B290" t="str">
            <v>OTHER EMP. CLASS-DIETARY SER</v>
          </cell>
          <cell r="C290">
            <v>437475.3</v>
          </cell>
        </row>
        <row r="291">
          <cell r="A291" t="str">
            <v>40015084</v>
          </cell>
          <cell r="B291" t="str">
            <v>OTHER EMP CLASs-RMH-PHYS THRP</v>
          </cell>
          <cell r="C291">
            <v>101651.93</v>
          </cell>
        </row>
        <row r="292">
          <cell r="A292" t="str">
            <v>40015085</v>
          </cell>
          <cell r="B292" t="str">
            <v>OTHER EMP. CLASS-HSKP SERVICES</v>
          </cell>
          <cell r="C292">
            <v>430597.95</v>
          </cell>
        </row>
        <row r="293">
          <cell r="A293" t="str">
            <v>40015086</v>
          </cell>
          <cell r="B293" t="str">
            <v>OTHER EMP. CLASS-LAUNDRY/LINEN</v>
          </cell>
          <cell r="C293">
            <v>25726.83</v>
          </cell>
        </row>
        <row r="294">
          <cell r="A294" t="str">
            <v>40015089</v>
          </cell>
          <cell r="B294" t="str">
            <v>OTHER EMP. CLASS-OUTPT REG</v>
          </cell>
          <cell r="C294">
            <v>307636.15000000002</v>
          </cell>
        </row>
        <row r="295">
          <cell r="A295" t="str">
            <v>40015090</v>
          </cell>
          <cell r="B295" t="str">
            <v>OTHER EMP. CLASS-PATIENT ACCT</v>
          </cell>
          <cell r="C295">
            <v>220415.01</v>
          </cell>
        </row>
        <row r="296">
          <cell r="A296" t="str">
            <v>40015091</v>
          </cell>
          <cell r="B296" t="str">
            <v>OTHER EMP. CLASS-DATA PROCESS</v>
          </cell>
          <cell r="C296">
            <v>198211.22</v>
          </cell>
        </row>
        <row r="297">
          <cell r="A297" t="str">
            <v>40020035</v>
          </cell>
          <cell r="B297" t="str">
            <v>TUITION REIMBURSE-EMP BENEFITS</v>
          </cell>
          <cell r="C297">
            <v>6000</v>
          </cell>
        </row>
        <row r="298">
          <cell r="A298" t="str">
            <v>40021035</v>
          </cell>
          <cell r="B298" t="str">
            <v>FICA-EMPLOYEE BENEFITS</v>
          </cell>
          <cell r="C298">
            <v>1602959.4</v>
          </cell>
        </row>
        <row r="299">
          <cell r="A299" t="str">
            <v>40022035</v>
          </cell>
          <cell r="B299" t="str">
            <v>SUI AND FUI-EMPLOYEE BENEFITS</v>
          </cell>
          <cell r="C299">
            <v>20491.009999999998</v>
          </cell>
        </row>
        <row r="300">
          <cell r="A300" t="str">
            <v>40023035</v>
          </cell>
          <cell r="B300" t="str">
            <v>GROUP HEALTH INS.-EMP BENE</v>
          </cell>
          <cell r="C300">
            <v>3009042.42</v>
          </cell>
        </row>
        <row r="301">
          <cell r="A301" t="str">
            <v>40024035</v>
          </cell>
          <cell r="B301" t="str">
            <v>DENTAL INSURANCE-EMPLOYEE BENE</v>
          </cell>
          <cell r="C301">
            <v>21836.5</v>
          </cell>
        </row>
        <row r="302">
          <cell r="A302" t="str">
            <v>40025035</v>
          </cell>
          <cell r="B302" t="str">
            <v>PENSION AND RETIRE-EMP BENEFIT</v>
          </cell>
          <cell r="C302">
            <v>317011.46999999997</v>
          </cell>
        </row>
        <row r="303">
          <cell r="A303" t="str">
            <v>40026035</v>
          </cell>
          <cell r="B303" t="str">
            <v>WORKMENS COMP INS-EMP BENEFITS</v>
          </cell>
          <cell r="C303">
            <v>273795.18</v>
          </cell>
        </row>
        <row r="304">
          <cell r="A304" t="str">
            <v>40027035</v>
          </cell>
          <cell r="B304" t="str">
            <v>LIFE INSURANCE-EMP BENEFITS</v>
          </cell>
          <cell r="C304">
            <v>11881</v>
          </cell>
        </row>
        <row r="305">
          <cell r="A305" t="str">
            <v>40028035</v>
          </cell>
          <cell r="B305" t="str">
            <v>DISABILITY INSURANCE-EMP BENE</v>
          </cell>
          <cell r="C305">
            <v>49441.18</v>
          </cell>
        </row>
        <row r="306">
          <cell r="A306" t="str">
            <v>40029035</v>
          </cell>
          <cell r="B306" t="str">
            <v>EMP BENEFITS NON PAY-EMP BENE</v>
          </cell>
          <cell r="C306">
            <v>93481.34</v>
          </cell>
        </row>
        <row r="307">
          <cell r="A307" t="str">
            <v>40030026</v>
          </cell>
          <cell r="B307" t="str">
            <v>LOCUMS</v>
          </cell>
          <cell r="C307">
            <v>500766</v>
          </cell>
        </row>
        <row r="308">
          <cell r="A308" t="str">
            <v>40030029</v>
          </cell>
          <cell r="B308" t="str">
            <v>LOCUM EXPENSE</v>
          </cell>
          <cell r="C308">
            <v>128013</v>
          </cell>
        </row>
        <row r="309">
          <cell r="A309" t="str">
            <v>40030037</v>
          </cell>
          <cell r="B309" t="str">
            <v>LOCUMS - SURGERY</v>
          </cell>
          <cell r="C309">
            <v>454542.5</v>
          </cell>
        </row>
        <row r="310">
          <cell r="A310" t="str">
            <v>40030041</v>
          </cell>
          <cell r="B310" t="str">
            <v>LOCUMS</v>
          </cell>
          <cell r="C310">
            <v>100893.96</v>
          </cell>
        </row>
        <row r="311">
          <cell r="A311" t="str">
            <v>40030058</v>
          </cell>
          <cell r="B311" t="str">
            <v>LOCUM EXPENSE</v>
          </cell>
          <cell r="C311">
            <v>116743.19</v>
          </cell>
        </row>
        <row r="312">
          <cell r="A312" t="str">
            <v>40030060</v>
          </cell>
          <cell r="B312" t="str">
            <v>LOCUM EXPENSE</v>
          </cell>
          <cell r="C312">
            <v>190237.16</v>
          </cell>
        </row>
        <row r="313">
          <cell r="A313" t="str">
            <v>40030069</v>
          </cell>
          <cell r="B313" t="str">
            <v>LOCUM EXPENSE</v>
          </cell>
          <cell r="C313">
            <v>32870.800000000003</v>
          </cell>
        </row>
        <row r="314">
          <cell r="A314" t="str">
            <v>40030096</v>
          </cell>
          <cell r="B314" t="str">
            <v>LOCUM EXPENSE</v>
          </cell>
          <cell r="C314">
            <v>105960.69</v>
          </cell>
        </row>
        <row r="315">
          <cell r="A315" t="str">
            <v>40031015</v>
          </cell>
          <cell r="B315" t="str">
            <v>PHYSICIAN FEES - ENT</v>
          </cell>
          <cell r="C315">
            <v>293293.87</v>
          </cell>
        </row>
        <row r="316">
          <cell r="A316" t="str">
            <v>40031017</v>
          </cell>
          <cell r="B316" t="str">
            <v>PHYSICIAN FEES - CVOSM</v>
          </cell>
          <cell r="C316">
            <v>1204284.24</v>
          </cell>
        </row>
        <row r="317">
          <cell r="A317" t="str">
            <v>40031018</v>
          </cell>
          <cell r="B317" t="str">
            <v>PHYSICIAN FEE-RMH-PSYCHIATRY</v>
          </cell>
          <cell r="C317">
            <v>141314.04999999999</v>
          </cell>
        </row>
        <row r="318">
          <cell r="A318" t="str">
            <v>40031037</v>
          </cell>
          <cell r="B318" t="str">
            <v>PHYSICIAN FEES-SURGEONS</v>
          </cell>
          <cell r="C318">
            <v>608480.36</v>
          </cell>
        </row>
        <row r="319">
          <cell r="A319" t="str">
            <v>40031043</v>
          </cell>
          <cell r="B319" t="str">
            <v>PHYSICIAN FEES-ELECTROCARDIOLO</v>
          </cell>
          <cell r="C319">
            <v>75969</v>
          </cell>
        </row>
        <row r="320">
          <cell r="A320" t="str">
            <v>40031058</v>
          </cell>
          <cell r="B320" t="str">
            <v>PHYSICIAN FEES - ANES. PHYS.</v>
          </cell>
          <cell r="C320">
            <v>1274522.1299999999</v>
          </cell>
        </row>
        <row r="321">
          <cell r="A321" t="str">
            <v>40031060</v>
          </cell>
          <cell r="B321" t="str">
            <v>PHYSICIAN FEES-ADM &amp; GEN</v>
          </cell>
          <cell r="C321">
            <v>54906.82</v>
          </cell>
        </row>
        <row r="322">
          <cell r="A322" t="str">
            <v>40031062</v>
          </cell>
          <cell r="B322" t="str">
            <v>PHYSICIAN FEES</v>
          </cell>
          <cell r="C322">
            <v>5000.04</v>
          </cell>
        </row>
        <row r="323">
          <cell r="A323" t="str">
            <v>40031069</v>
          </cell>
          <cell r="B323" t="str">
            <v>PHYSICIAN FEES-PRACTICE OPERAT</v>
          </cell>
          <cell r="C323">
            <v>143.19999999999999</v>
          </cell>
        </row>
        <row r="324">
          <cell r="A324" t="str">
            <v>40031096</v>
          </cell>
          <cell r="B324" t="str">
            <v>PHYSICIAN FEES-HOSPITALIST</v>
          </cell>
          <cell r="C324">
            <v>1113306.06</v>
          </cell>
        </row>
        <row r="325">
          <cell r="A325" t="str">
            <v>40032013</v>
          </cell>
          <cell r="B325" t="str">
            <v>GRANT EXPENSE</v>
          </cell>
          <cell r="C325">
            <v>655</v>
          </cell>
        </row>
        <row r="326">
          <cell r="A326" t="str">
            <v>40032029</v>
          </cell>
          <cell r="B326" t="str">
            <v>GRANT EXPENSE - ONCOLOGY</v>
          </cell>
          <cell r="C326">
            <v>20444.04</v>
          </cell>
        </row>
        <row r="327">
          <cell r="A327" t="str">
            <v>40032060</v>
          </cell>
          <cell r="B327" t="str">
            <v>GRANT EXPENSE-ADMIN</v>
          </cell>
          <cell r="C327">
            <v>3922.62</v>
          </cell>
        </row>
        <row r="328">
          <cell r="A328" t="str">
            <v>40033060</v>
          </cell>
          <cell r="B328" t="str">
            <v>CONSULTING + MAN FEE-ADM &amp; GEN</v>
          </cell>
          <cell r="C328">
            <v>33574.81</v>
          </cell>
        </row>
        <row r="329">
          <cell r="A329" t="str">
            <v>40033061</v>
          </cell>
          <cell r="B329" t="str">
            <v>CONSULTING + MAN FEE-PERSONNEL</v>
          </cell>
          <cell r="C329">
            <v>78536.58</v>
          </cell>
        </row>
        <row r="330">
          <cell r="A330" t="str">
            <v>40033065</v>
          </cell>
          <cell r="B330" t="str">
            <v>CONSULTING + MAN FEE-PUB REL</v>
          </cell>
          <cell r="C330">
            <v>9543.25</v>
          </cell>
        </row>
        <row r="331">
          <cell r="A331" t="str">
            <v>40034060</v>
          </cell>
          <cell r="B331" t="str">
            <v>LEGAL FEES-ADM AND GEN</v>
          </cell>
          <cell r="C331">
            <v>330590.57</v>
          </cell>
        </row>
        <row r="332">
          <cell r="A332" t="str">
            <v>40035092</v>
          </cell>
          <cell r="B332" t="str">
            <v>ACCOUNTING &amp; AUDIT FEES</v>
          </cell>
          <cell r="C332">
            <v>83967</v>
          </cell>
        </row>
        <row r="333">
          <cell r="A333" t="str">
            <v>40039015</v>
          </cell>
          <cell r="B333" t="str">
            <v>OTHER FEES - ENT</v>
          </cell>
          <cell r="C333">
            <v>3747.38</v>
          </cell>
        </row>
        <row r="334">
          <cell r="A334" t="str">
            <v>40039017</v>
          </cell>
          <cell r="B334" t="str">
            <v>OTHER FEES</v>
          </cell>
          <cell r="C334">
            <v>1610.27</v>
          </cell>
        </row>
        <row r="335">
          <cell r="A335" t="str">
            <v>40039037</v>
          </cell>
          <cell r="B335" t="str">
            <v>OTHER FEES</v>
          </cell>
          <cell r="C335">
            <v>940.65</v>
          </cell>
        </row>
        <row r="336">
          <cell r="A336" t="str">
            <v>40039049</v>
          </cell>
          <cell r="B336" t="str">
            <v>OTHER FEES - PHY THERAPY</v>
          </cell>
          <cell r="C336">
            <v>837.68</v>
          </cell>
        </row>
        <row r="337">
          <cell r="A337" t="str">
            <v>40039060</v>
          </cell>
          <cell r="B337" t="str">
            <v>OTHER FEES-ADM AND GENERAL</v>
          </cell>
          <cell r="C337">
            <v>52037.72</v>
          </cell>
        </row>
        <row r="338">
          <cell r="A338" t="str">
            <v>40039069</v>
          </cell>
          <cell r="B338" t="str">
            <v>OTHER FEES - GOVERNING BOARD</v>
          </cell>
          <cell r="C338">
            <v>6706.07</v>
          </cell>
        </row>
        <row r="339">
          <cell r="A339" t="str">
            <v>40039080</v>
          </cell>
          <cell r="B339" t="str">
            <v>OTHER FEES-DIETARY SERVICES</v>
          </cell>
          <cell r="C339">
            <v>4434.1899999999996</v>
          </cell>
        </row>
        <row r="340">
          <cell r="A340" t="str">
            <v>40039090</v>
          </cell>
          <cell r="B340" t="str">
            <v>OTHER FEES-PATIENT ACCT</v>
          </cell>
          <cell r="C340">
            <v>39391.65</v>
          </cell>
        </row>
        <row r="341">
          <cell r="A341" t="str">
            <v>40039092</v>
          </cell>
          <cell r="B341" t="str">
            <v>OTHER FEES-GENERAL ACCT</v>
          </cell>
          <cell r="C341">
            <v>42853.3</v>
          </cell>
        </row>
        <row r="342">
          <cell r="A342" t="str">
            <v>40041021</v>
          </cell>
          <cell r="B342" t="str">
            <v>PROSTHESES-OR</v>
          </cell>
          <cell r="C342">
            <v>771321.64</v>
          </cell>
        </row>
        <row r="343">
          <cell r="A343" t="str">
            <v>40042013</v>
          </cell>
          <cell r="B343" t="str">
            <v>GENERAL SUPPLY-OBSTETRICS</v>
          </cell>
          <cell r="C343">
            <v>4559.67</v>
          </cell>
        </row>
        <row r="344">
          <cell r="A344" t="str">
            <v>40042021</v>
          </cell>
          <cell r="B344" t="str">
            <v>SUPPLIES GENERAL - OR</v>
          </cell>
          <cell r="C344">
            <v>406385.83</v>
          </cell>
        </row>
        <row r="345">
          <cell r="A345" t="str">
            <v>40042023</v>
          </cell>
          <cell r="B345" t="str">
            <v>SUPPLIES GENERAL-EMERGNCY SVCS</v>
          </cell>
          <cell r="C345">
            <v>2879.68</v>
          </cell>
        </row>
        <row r="346">
          <cell r="A346" t="str">
            <v>40042024</v>
          </cell>
          <cell r="B346" t="str">
            <v>SUPPLIES GENERAL-1 DAY SURGERY</v>
          </cell>
          <cell r="C346">
            <v>-608.52</v>
          </cell>
        </row>
        <row r="347">
          <cell r="A347" t="str">
            <v>40042028</v>
          </cell>
          <cell r="B347" t="str">
            <v>SUPPLIES GENERAL-SPEC. PROC.</v>
          </cell>
          <cell r="C347">
            <v>870</v>
          </cell>
        </row>
        <row r="348">
          <cell r="A348" t="str">
            <v>40043047</v>
          </cell>
          <cell r="B348" t="str">
            <v>ANESTHETIC MATERIAL-PHARMACY</v>
          </cell>
          <cell r="C348">
            <v>834</v>
          </cell>
        </row>
        <row r="349">
          <cell r="A349" t="str">
            <v>40043048</v>
          </cell>
          <cell r="B349" t="str">
            <v>ANESTHETIC MATERIALS-ANESTH</v>
          </cell>
          <cell r="C349">
            <v>12392.68</v>
          </cell>
        </row>
        <row r="350">
          <cell r="A350" t="str">
            <v>40044021</v>
          </cell>
          <cell r="B350" t="str">
            <v>OXYGEN + OTHER GASES - OR</v>
          </cell>
          <cell r="C350">
            <v>11350.59</v>
          </cell>
        </row>
        <row r="351">
          <cell r="A351" t="str">
            <v>40044050</v>
          </cell>
          <cell r="B351" t="str">
            <v>OXYGEN + OTHER GASES-RESP THPY</v>
          </cell>
          <cell r="C351">
            <v>31173.67</v>
          </cell>
        </row>
        <row r="352">
          <cell r="A352" t="str">
            <v>40044083</v>
          </cell>
          <cell r="B352" t="str">
            <v>OXY &amp; OTHER GASES ENGINEERING</v>
          </cell>
          <cell r="C352">
            <v>0</v>
          </cell>
        </row>
        <row r="353">
          <cell r="A353" t="str">
            <v>40045009</v>
          </cell>
          <cell r="B353" t="str">
            <v>IV SOLUTIONS-MED/SURG</v>
          </cell>
          <cell r="C353">
            <v>5533.98</v>
          </cell>
        </row>
        <row r="354">
          <cell r="A354" t="str">
            <v>40045013</v>
          </cell>
          <cell r="B354" t="str">
            <v>IV SOLUTIONS-OBSTETRICS</v>
          </cell>
          <cell r="C354">
            <v>1069.44</v>
          </cell>
        </row>
        <row r="355">
          <cell r="A355" t="str">
            <v>40045017</v>
          </cell>
          <cell r="B355" t="str">
            <v>IV SOLUTIONS</v>
          </cell>
          <cell r="C355">
            <v>23.9</v>
          </cell>
        </row>
        <row r="356">
          <cell r="A356" t="str">
            <v>40045018</v>
          </cell>
          <cell r="B356" t="str">
            <v>IV SOLUTIONS-RMH-PSYCHIATRY</v>
          </cell>
          <cell r="C356">
            <v>16.57</v>
          </cell>
        </row>
        <row r="357">
          <cell r="A357" t="str">
            <v>40045021</v>
          </cell>
          <cell r="B357" t="str">
            <v>IV SOLUTIONS - OR</v>
          </cell>
          <cell r="C357">
            <v>15313.94</v>
          </cell>
        </row>
        <row r="358">
          <cell r="A358" t="str">
            <v>40045022</v>
          </cell>
          <cell r="B358" t="str">
            <v>IV SOLUTIONS-RECOVERY</v>
          </cell>
          <cell r="C358">
            <v>64.11</v>
          </cell>
        </row>
        <row r="359">
          <cell r="A359" t="str">
            <v>40045023</v>
          </cell>
          <cell r="B359" t="str">
            <v>IV SOLUTIONS-EMERGENCY SVCS.</v>
          </cell>
          <cell r="C359">
            <v>8602.52</v>
          </cell>
        </row>
        <row r="360">
          <cell r="A360" t="str">
            <v>40045024</v>
          </cell>
          <cell r="B360" t="str">
            <v>IV SOLUTIONS-ONE DAY SURGERY</v>
          </cell>
          <cell r="C360">
            <v>922.22</v>
          </cell>
        </row>
        <row r="361">
          <cell r="A361" t="str">
            <v>40045025</v>
          </cell>
          <cell r="B361" t="str">
            <v>IV SOLUTIONS</v>
          </cell>
          <cell r="C361">
            <v>0</v>
          </cell>
        </row>
        <row r="362">
          <cell r="A362" t="str">
            <v>40045028</v>
          </cell>
          <cell r="B362" t="str">
            <v>IV SOLUTIONS-SPEC PROCEDURES</v>
          </cell>
          <cell r="C362">
            <v>1567.35</v>
          </cell>
        </row>
        <row r="363">
          <cell r="A363" t="str">
            <v>40045029</v>
          </cell>
          <cell r="B363" t="str">
            <v>IV SOLUTIONS-SPECIALTY SVCS</v>
          </cell>
          <cell r="C363">
            <v>503.91</v>
          </cell>
        </row>
        <row r="364">
          <cell r="A364" t="str">
            <v>40045036</v>
          </cell>
          <cell r="B364" t="str">
            <v>IV SOLUTIONS - MRI</v>
          </cell>
          <cell r="C364">
            <v>50.42</v>
          </cell>
        </row>
        <row r="365">
          <cell r="A365" t="str">
            <v>40045041</v>
          </cell>
          <cell r="B365" t="str">
            <v>IV SOLUTIONS-LAB CLIN</v>
          </cell>
          <cell r="C365">
            <v>0.91</v>
          </cell>
        </row>
        <row r="366">
          <cell r="A366" t="str">
            <v>40045044</v>
          </cell>
          <cell r="B366" t="str">
            <v>IV SOLUTIONS- RADIOLOGY</v>
          </cell>
          <cell r="C366">
            <v>248.96</v>
          </cell>
        </row>
        <row r="367">
          <cell r="A367" t="str">
            <v>40045047</v>
          </cell>
          <cell r="B367" t="str">
            <v>IV SOLUTIONS-PHARMACY</v>
          </cell>
          <cell r="C367">
            <v>39784.639999999999</v>
          </cell>
        </row>
        <row r="368">
          <cell r="A368" t="str">
            <v>40045050</v>
          </cell>
          <cell r="B368" t="str">
            <v>IV SOLUTIONS-RESP THPY</v>
          </cell>
          <cell r="C368">
            <v>17.88</v>
          </cell>
        </row>
        <row r="369">
          <cell r="A369" t="str">
            <v>40045079</v>
          </cell>
          <cell r="B369" t="str">
            <v>IV SOLUTIONS</v>
          </cell>
          <cell r="C369">
            <v>0</v>
          </cell>
        </row>
        <row r="370">
          <cell r="A370" t="str">
            <v>40046002</v>
          </cell>
          <cell r="B370" t="str">
            <v>PHARMACEUTICALS-GRT FALLS FAM</v>
          </cell>
          <cell r="C370">
            <v>0</v>
          </cell>
        </row>
        <row r="371">
          <cell r="A371" t="str">
            <v>40046009</v>
          </cell>
          <cell r="B371" t="str">
            <v>PHARMACEUTICALS-MED/SURG</v>
          </cell>
          <cell r="C371">
            <v>5062.8999999999996</v>
          </cell>
        </row>
        <row r="372">
          <cell r="A372" t="str">
            <v>40046013</v>
          </cell>
          <cell r="B372" t="str">
            <v>PHARMACEUTICALS-OBSTETRICS</v>
          </cell>
          <cell r="C372">
            <v>622.46</v>
          </cell>
        </row>
        <row r="373">
          <cell r="A373" t="str">
            <v>40046015</v>
          </cell>
          <cell r="B373" t="str">
            <v>PHARMACEUTICALS - ENT</v>
          </cell>
          <cell r="C373">
            <v>4.3099999999999996</v>
          </cell>
        </row>
        <row r="374">
          <cell r="A374" t="str">
            <v>40046017</v>
          </cell>
          <cell r="B374" t="str">
            <v>PHARMACEUTICALS</v>
          </cell>
          <cell r="C374">
            <v>16435.490000000002</v>
          </cell>
        </row>
        <row r="375">
          <cell r="A375" t="str">
            <v>40046020</v>
          </cell>
          <cell r="B375" t="str">
            <v>PHARMACEUTICALS</v>
          </cell>
          <cell r="C375">
            <v>294.51</v>
          </cell>
        </row>
        <row r="376">
          <cell r="A376" t="str">
            <v>40046021</v>
          </cell>
          <cell r="B376" t="str">
            <v>PHARMACEUTICALS - OR</v>
          </cell>
          <cell r="C376">
            <v>4489.55</v>
          </cell>
        </row>
        <row r="377">
          <cell r="A377" t="str">
            <v>40046023</v>
          </cell>
          <cell r="B377" t="str">
            <v>PHARMACEUTICALS-EMERGNCY SVCS.</v>
          </cell>
          <cell r="C377">
            <v>1682.46</v>
          </cell>
        </row>
        <row r="378">
          <cell r="A378" t="str">
            <v>40046024</v>
          </cell>
          <cell r="B378" t="str">
            <v>PHARMACEUTICALS-ONE DAY SURGRY</v>
          </cell>
          <cell r="C378">
            <v>5.88</v>
          </cell>
        </row>
        <row r="379">
          <cell r="A379" t="str">
            <v>40046025</v>
          </cell>
          <cell r="B379" t="str">
            <v>PHARMACEUTICALS</v>
          </cell>
          <cell r="C379">
            <v>0</v>
          </cell>
        </row>
        <row r="380">
          <cell r="A380" t="str">
            <v>40046028</v>
          </cell>
          <cell r="B380" t="str">
            <v>PHARMACEUTICALS-SPEC PROCEDURE</v>
          </cell>
          <cell r="C380">
            <v>210.2</v>
          </cell>
        </row>
        <row r="381">
          <cell r="A381" t="str">
            <v>40046029</v>
          </cell>
          <cell r="B381" t="str">
            <v>PHARMECEUTICALS-SPECIALTY SERV</v>
          </cell>
          <cell r="C381">
            <v>553.82000000000005</v>
          </cell>
        </row>
        <row r="382">
          <cell r="A382" t="str">
            <v>40046036</v>
          </cell>
          <cell r="B382" t="str">
            <v>PHARMACEUTICALS - MRI</v>
          </cell>
          <cell r="C382">
            <v>135.69</v>
          </cell>
        </row>
        <row r="383">
          <cell r="A383" t="str">
            <v>40046038</v>
          </cell>
          <cell r="B383" t="str">
            <v>PHARMACEUTICALS-OUTSIDE SALES</v>
          </cell>
          <cell r="C383">
            <v>0</v>
          </cell>
        </row>
        <row r="384">
          <cell r="A384" t="str">
            <v>40046040</v>
          </cell>
          <cell r="B384" t="str">
            <v>PHARMECEUTICALS-ULTRASOUND</v>
          </cell>
          <cell r="C384">
            <v>208.46</v>
          </cell>
        </row>
        <row r="385">
          <cell r="A385" t="str">
            <v>40046041</v>
          </cell>
          <cell r="B385" t="str">
            <v>PHARMACEUTICALS-LAB-CLIN</v>
          </cell>
          <cell r="C385">
            <v>-30.57</v>
          </cell>
        </row>
        <row r="386">
          <cell r="A386" t="str">
            <v>40046044</v>
          </cell>
          <cell r="B386" t="str">
            <v>PHARMACEUTICALS-RADIOLOGY</v>
          </cell>
          <cell r="C386">
            <v>26000.18</v>
          </cell>
        </row>
        <row r="387">
          <cell r="A387" t="str">
            <v>40046045</v>
          </cell>
          <cell r="B387" t="str">
            <v>PHARMACEUTICALS-CAT SCAN</v>
          </cell>
          <cell r="C387">
            <v>6735.97</v>
          </cell>
        </row>
        <row r="388">
          <cell r="A388" t="str">
            <v>40046046</v>
          </cell>
          <cell r="B388" t="str">
            <v>PHARMACEUTICALS-NUC MED</v>
          </cell>
          <cell r="C388">
            <v>817.13</v>
          </cell>
        </row>
        <row r="389">
          <cell r="A389" t="str">
            <v>40046047</v>
          </cell>
          <cell r="B389" t="str">
            <v>PHARMACEUTICALS-PHARMACY</v>
          </cell>
          <cell r="C389">
            <v>1646404</v>
          </cell>
        </row>
        <row r="390">
          <cell r="A390" t="str">
            <v>40046048</v>
          </cell>
          <cell r="B390" t="str">
            <v>PHARMACEUTICALS-ANESTH</v>
          </cell>
          <cell r="C390">
            <v>3000.61</v>
          </cell>
        </row>
        <row r="391">
          <cell r="A391" t="str">
            <v>40046049</v>
          </cell>
          <cell r="B391" t="str">
            <v>PHARAMCEUTICALS</v>
          </cell>
          <cell r="C391">
            <v>610.78</v>
          </cell>
        </row>
        <row r="392">
          <cell r="A392" t="str">
            <v>40046050</v>
          </cell>
          <cell r="B392" t="str">
            <v>PHARMACEUTICALS-RESP THPY</v>
          </cell>
          <cell r="C392">
            <v>80.94</v>
          </cell>
        </row>
        <row r="393">
          <cell r="A393" t="str">
            <v>40049002</v>
          </cell>
          <cell r="B393" t="str">
            <v>OTHER MED SUPPL-RMG</v>
          </cell>
          <cell r="C393">
            <v>0</v>
          </cell>
        </row>
        <row r="394">
          <cell r="A394" t="str">
            <v>40049006</v>
          </cell>
          <cell r="B394" t="str">
            <v>OTHER MED SUPPLIES-CHRLSTN FAM</v>
          </cell>
          <cell r="C394">
            <v>0</v>
          </cell>
        </row>
        <row r="395">
          <cell r="A395" t="str">
            <v>40049009</v>
          </cell>
          <cell r="B395" t="str">
            <v>OTHER MED CARE SUP-MSU</v>
          </cell>
          <cell r="C395">
            <v>96746.39</v>
          </cell>
        </row>
        <row r="396">
          <cell r="A396" t="str">
            <v>40049013</v>
          </cell>
          <cell r="B396" t="str">
            <v>OTHER MED CARE SUP-CHILDBIRTH</v>
          </cell>
          <cell r="C396">
            <v>31113.62</v>
          </cell>
        </row>
        <row r="397">
          <cell r="A397" t="str">
            <v>40049014</v>
          </cell>
          <cell r="B397" t="str">
            <v>OTHER MED SUPPLIES</v>
          </cell>
          <cell r="C397">
            <v>0</v>
          </cell>
        </row>
        <row r="398">
          <cell r="A398" t="str">
            <v>40049015</v>
          </cell>
          <cell r="B398" t="str">
            <v>OTHER MED CARE SUP - ENT</v>
          </cell>
          <cell r="C398">
            <v>4110.66</v>
          </cell>
        </row>
        <row r="399">
          <cell r="A399" t="str">
            <v>40049017</v>
          </cell>
          <cell r="B399" t="str">
            <v>OTHER MED. CARE SUP-CVOSM</v>
          </cell>
          <cell r="C399">
            <v>900.96</v>
          </cell>
        </row>
        <row r="400">
          <cell r="A400" t="str">
            <v>40049018</v>
          </cell>
          <cell r="B400" t="str">
            <v>OTHER MED CARE SUPP-WINDHAM</v>
          </cell>
          <cell r="C400">
            <v>2570.9499999999998</v>
          </cell>
        </row>
        <row r="401">
          <cell r="A401" t="str">
            <v>40049019</v>
          </cell>
          <cell r="B401" t="str">
            <v>OTHER MED CARE SUP-PULM REHAB</v>
          </cell>
          <cell r="C401">
            <v>784.62</v>
          </cell>
        </row>
        <row r="402">
          <cell r="A402" t="str">
            <v>40049020</v>
          </cell>
          <cell r="B402" t="str">
            <v>OTHER MEDICAL CARE - MAMMO</v>
          </cell>
          <cell r="C402">
            <v>1059.95</v>
          </cell>
        </row>
        <row r="403">
          <cell r="A403" t="str">
            <v>40049021</v>
          </cell>
          <cell r="B403" t="str">
            <v>OTHER MED CARE SUP-SURGICAL SV</v>
          </cell>
          <cell r="C403">
            <v>197048.33</v>
          </cell>
        </row>
        <row r="404">
          <cell r="A404" t="str">
            <v>40049022</v>
          </cell>
          <cell r="B404" t="str">
            <v>OTHER MED CARE SUP-RECOVERY RM</v>
          </cell>
          <cell r="C404">
            <v>2049.9899999999998</v>
          </cell>
        </row>
        <row r="405">
          <cell r="A405" t="str">
            <v>40049023</v>
          </cell>
          <cell r="B405" t="str">
            <v>OTHER MED CARE SUP-EMERG. SVCS</v>
          </cell>
          <cell r="C405">
            <v>203906.07</v>
          </cell>
        </row>
        <row r="406">
          <cell r="A406" t="str">
            <v>40049024</v>
          </cell>
          <cell r="B406" t="str">
            <v>OTHER MED CARE SUP-1 DAY SURGY</v>
          </cell>
          <cell r="C406">
            <v>13570.27</v>
          </cell>
        </row>
        <row r="407">
          <cell r="A407" t="str">
            <v>40049028</v>
          </cell>
          <cell r="B407" t="str">
            <v>OTHER MED CARE SUP-SPEC.PROC.</v>
          </cell>
          <cell r="C407">
            <v>58123.03</v>
          </cell>
        </row>
        <row r="408">
          <cell r="A408" t="str">
            <v>40049029</v>
          </cell>
          <cell r="B408" t="str">
            <v>OTHER MED CARE SUP-SPEC.SERV.</v>
          </cell>
          <cell r="C408">
            <v>10927.28</v>
          </cell>
        </row>
        <row r="409">
          <cell r="A409" t="str">
            <v>40049036</v>
          </cell>
          <cell r="B409" t="str">
            <v>OTHER MED CARE SUP / MRI</v>
          </cell>
          <cell r="C409">
            <v>15457.7</v>
          </cell>
        </row>
        <row r="410">
          <cell r="A410" t="str">
            <v>40049037</v>
          </cell>
          <cell r="B410" t="str">
            <v>OTHER MED CARE SUPP-SURGICAL</v>
          </cell>
          <cell r="C410">
            <v>2051.34</v>
          </cell>
        </row>
        <row r="411">
          <cell r="A411" t="str">
            <v>40049038</v>
          </cell>
          <cell r="B411" t="str">
            <v>OTHER MED CARE SUPP-OUTSIDE SA</v>
          </cell>
          <cell r="C411">
            <v>0</v>
          </cell>
        </row>
        <row r="412">
          <cell r="A412" t="str">
            <v>40049040</v>
          </cell>
          <cell r="B412" t="str">
            <v>MED/SURG SUPPLIES-ULTRASOUND</v>
          </cell>
          <cell r="C412">
            <v>8633.6</v>
          </cell>
        </row>
        <row r="413">
          <cell r="A413" t="str">
            <v>40049041</v>
          </cell>
          <cell r="B413" t="str">
            <v>OTHER MED CARE SUP-LAB-CLIN</v>
          </cell>
          <cell r="C413">
            <v>17761.7</v>
          </cell>
        </row>
        <row r="414">
          <cell r="A414" t="str">
            <v>40049042</v>
          </cell>
          <cell r="B414" t="str">
            <v>OTHER MED CARE SUP-BLOOD BANK</v>
          </cell>
          <cell r="C414">
            <v>129424.3</v>
          </cell>
        </row>
        <row r="415">
          <cell r="A415" t="str">
            <v>40049043</v>
          </cell>
          <cell r="B415" t="str">
            <v>OTHER MED CARE SUP-ELECTROCARD</v>
          </cell>
          <cell r="C415">
            <v>169</v>
          </cell>
        </row>
        <row r="416">
          <cell r="A416" t="str">
            <v>40049044</v>
          </cell>
          <cell r="B416" t="str">
            <v>OTHER MED CARE SUP-RADIOLOGY</v>
          </cell>
          <cell r="C416">
            <v>17732.23</v>
          </cell>
        </row>
        <row r="417">
          <cell r="A417" t="str">
            <v>40049045</v>
          </cell>
          <cell r="B417" t="str">
            <v>OTHER MED CARE SUP-CAT SCAN</v>
          </cell>
          <cell r="C417">
            <v>54283.55</v>
          </cell>
        </row>
        <row r="418">
          <cell r="A418" t="str">
            <v>40049046</v>
          </cell>
          <cell r="B418" t="str">
            <v>OTHER MED CARE SUP-NUCLEAR MED</v>
          </cell>
          <cell r="C418">
            <v>45802</v>
          </cell>
        </row>
        <row r="419">
          <cell r="A419" t="str">
            <v>40049047</v>
          </cell>
          <cell r="B419" t="str">
            <v>OTHER MED CARE SUP-PHARMACY</v>
          </cell>
          <cell r="C419">
            <v>11804.27</v>
          </cell>
        </row>
        <row r="420">
          <cell r="A420" t="str">
            <v>40049048</v>
          </cell>
          <cell r="B420" t="str">
            <v>OTHER MED CARE SUP-ANESTH</v>
          </cell>
          <cell r="C420">
            <v>28131.03</v>
          </cell>
        </row>
        <row r="421">
          <cell r="A421" t="str">
            <v>40049049</v>
          </cell>
          <cell r="B421" t="str">
            <v>OTHER MED CARE SUP-PHY THERAPY</v>
          </cell>
          <cell r="C421">
            <v>7695.18</v>
          </cell>
        </row>
        <row r="422">
          <cell r="A422" t="str">
            <v>40049050</v>
          </cell>
          <cell r="B422" t="str">
            <v>OTHER MED CARE-RESP THERAPY</v>
          </cell>
          <cell r="C422">
            <v>26728.93</v>
          </cell>
        </row>
        <row r="423">
          <cell r="A423" t="str">
            <v>40049064</v>
          </cell>
          <cell r="B423" t="str">
            <v>OTHER MED CARE SUP-PUR &amp; STORE</v>
          </cell>
          <cell r="C423">
            <v>-618.73</v>
          </cell>
        </row>
        <row r="424">
          <cell r="A424" t="str">
            <v>40049073</v>
          </cell>
          <cell r="B424" t="str">
            <v>OTHER MED CARE SUPP-SPFLD DAY</v>
          </cell>
          <cell r="C424">
            <v>755.44</v>
          </cell>
        </row>
        <row r="425">
          <cell r="A425" t="str">
            <v>40049076</v>
          </cell>
          <cell r="B425" t="str">
            <v>OTHER MED CARE SPPLY-ED/HSP WD</v>
          </cell>
          <cell r="C425">
            <v>48.09</v>
          </cell>
        </row>
        <row r="426">
          <cell r="A426" t="str">
            <v>40049084</v>
          </cell>
          <cell r="B426" t="str">
            <v>OTHER MED CARE SUPP-RMH-P.T.</v>
          </cell>
          <cell r="C426">
            <v>502.81</v>
          </cell>
        </row>
        <row r="427">
          <cell r="A427" t="str">
            <v>40052008</v>
          </cell>
          <cell r="B427" t="str">
            <v>FOOD CHARGES</v>
          </cell>
          <cell r="C427">
            <v>137.82</v>
          </cell>
        </row>
        <row r="428">
          <cell r="A428" t="str">
            <v>40052009</v>
          </cell>
          <cell r="B428" t="str">
            <v>FOOD &amp; FOOD SRV-MSU</v>
          </cell>
          <cell r="C428">
            <v>10497.27</v>
          </cell>
        </row>
        <row r="429">
          <cell r="A429" t="str">
            <v>40052013</v>
          </cell>
          <cell r="B429" t="str">
            <v>FOOD - OTHER CHILDBIRTH</v>
          </cell>
          <cell r="C429">
            <v>4138.05</v>
          </cell>
        </row>
        <row r="430">
          <cell r="A430" t="str">
            <v>40052015</v>
          </cell>
          <cell r="B430" t="str">
            <v>FOOD OTHER - ENT</v>
          </cell>
          <cell r="C430">
            <v>103.47</v>
          </cell>
        </row>
        <row r="431">
          <cell r="A431" t="str">
            <v>40052017</v>
          </cell>
          <cell r="B431" t="str">
            <v>FOOD-CVOSM</v>
          </cell>
          <cell r="C431">
            <v>704.89</v>
          </cell>
        </row>
        <row r="432">
          <cell r="A432" t="str">
            <v>40052018</v>
          </cell>
          <cell r="B432" t="str">
            <v>FOOD EXPENSE-WINDHAM</v>
          </cell>
          <cell r="C432">
            <v>165.56</v>
          </cell>
        </row>
        <row r="433">
          <cell r="A433" t="str">
            <v>40052019</v>
          </cell>
          <cell r="B433" t="str">
            <v>FOOD CHARGES</v>
          </cell>
          <cell r="C433">
            <v>95.68</v>
          </cell>
        </row>
        <row r="434">
          <cell r="A434" t="str">
            <v>40052020</v>
          </cell>
          <cell r="B434" t="str">
            <v>FOOD CHARGES</v>
          </cell>
          <cell r="C434">
            <v>177.55</v>
          </cell>
        </row>
        <row r="435">
          <cell r="A435" t="str">
            <v>40052021</v>
          </cell>
          <cell r="B435" t="str">
            <v>FOOD &amp; FOOD SRV-O/R</v>
          </cell>
          <cell r="C435">
            <v>1952.79</v>
          </cell>
        </row>
        <row r="436">
          <cell r="A436" t="str">
            <v>40052023</v>
          </cell>
          <cell r="B436" t="str">
            <v>FOOD &amp; FOOD SRV-EMER RM</v>
          </cell>
          <cell r="C436">
            <v>28291.26</v>
          </cell>
        </row>
        <row r="437">
          <cell r="A437" t="str">
            <v>40052024</v>
          </cell>
          <cell r="B437" t="str">
            <v>FOOD &amp; FOOD SRV-ONE DAY SURG</v>
          </cell>
          <cell r="C437">
            <v>797.49</v>
          </cell>
        </row>
        <row r="438">
          <cell r="A438" t="str">
            <v>40052026</v>
          </cell>
          <cell r="B438" t="str">
            <v>Food Charge</v>
          </cell>
          <cell r="C438">
            <v>28</v>
          </cell>
        </row>
        <row r="439">
          <cell r="A439" t="str">
            <v>40052029</v>
          </cell>
          <cell r="B439" t="str">
            <v>FOOD - OTHER / ONCOLOGY</v>
          </cell>
          <cell r="C439">
            <v>2918.71</v>
          </cell>
        </row>
        <row r="440">
          <cell r="A440" t="str">
            <v>40052035</v>
          </cell>
          <cell r="B440" t="str">
            <v>FOOD CHARGES</v>
          </cell>
          <cell r="C440">
            <v>1618.03</v>
          </cell>
        </row>
        <row r="441">
          <cell r="A441" t="str">
            <v>40052037</v>
          </cell>
          <cell r="B441" t="str">
            <v>FOOD-SURGICAL</v>
          </cell>
          <cell r="C441">
            <v>635.98</v>
          </cell>
        </row>
        <row r="442">
          <cell r="A442" t="str">
            <v>40052044</v>
          </cell>
          <cell r="B442" t="str">
            <v>FOOD - OTHER / RADIOLOGY</v>
          </cell>
          <cell r="C442">
            <v>949.11</v>
          </cell>
        </row>
        <row r="443">
          <cell r="A443" t="str">
            <v>40052047</v>
          </cell>
          <cell r="B443" t="str">
            <v>FOOD CHARGES</v>
          </cell>
          <cell r="C443">
            <v>553.66999999999996</v>
          </cell>
        </row>
        <row r="444">
          <cell r="A444" t="str">
            <v>40052048</v>
          </cell>
          <cell r="B444" t="str">
            <v>FOOD CHARGES</v>
          </cell>
          <cell r="C444">
            <v>22</v>
          </cell>
        </row>
        <row r="445">
          <cell r="A445" t="str">
            <v>40052052</v>
          </cell>
          <cell r="B445" t="str">
            <v>FOOD OCCUP THERAPY</v>
          </cell>
          <cell r="C445">
            <v>4.6399999999999997</v>
          </cell>
        </row>
        <row r="446">
          <cell r="A446" t="str">
            <v>40052053</v>
          </cell>
          <cell r="B446" t="str">
            <v>FOOD INPATIENT-RMH-DIETARY</v>
          </cell>
          <cell r="C446">
            <v>67043.289999999994</v>
          </cell>
        </row>
        <row r="447">
          <cell r="A447" t="str">
            <v>40052060</v>
          </cell>
          <cell r="B447" t="str">
            <v>FOOD CHARGES</v>
          </cell>
          <cell r="C447">
            <v>6129.97</v>
          </cell>
        </row>
        <row r="448">
          <cell r="A448" t="str">
            <v>40052061</v>
          </cell>
          <cell r="B448" t="str">
            <v>FOOD - OTHER /PERSONNEL</v>
          </cell>
          <cell r="C448">
            <v>40.369999999999997</v>
          </cell>
        </row>
        <row r="449">
          <cell r="A449" t="str">
            <v>40052062</v>
          </cell>
          <cell r="B449" t="str">
            <v>FOOD CHARGES</v>
          </cell>
          <cell r="C449">
            <v>1190.95</v>
          </cell>
        </row>
        <row r="450">
          <cell r="A450" t="str">
            <v>40052069</v>
          </cell>
          <cell r="B450" t="str">
            <v>FOOD CHARGES</v>
          </cell>
          <cell r="C450">
            <v>1606.91</v>
          </cell>
        </row>
        <row r="451">
          <cell r="A451" t="str">
            <v>40052073</v>
          </cell>
          <cell r="B451" t="str">
            <v>FOOD - SPFLD ADULT DAYCARE</v>
          </cell>
          <cell r="C451">
            <v>54891.35</v>
          </cell>
        </row>
        <row r="452">
          <cell r="A452" t="str">
            <v>40052076</v>
          </cell>
          <cell r="B452" t="str">
            <v>FOOD CHARGES - EDUCATION</v>
          </cell>
          <cell r="C452">
            <v>2390.5300000000002</v>
          </cell>
        </row>
        <row r="453">
          <cell r="A453" t="str">
            <v>40052080</v>
          </cell>
          <cell r="B453" t="str">
            <v>FOOD OTHER-DIETARY SERVICES</v>
          </cell>
          <cell r="C453">
            <v>220952.28</v>
          </cell>
        </row>
        <row r="454">
          <cell r="A454" t="str">
            <v>40052089</v>
          </cell>
          <cell r="B454" t="str">
            <v>Food Charge</v>
          </cell>
          <cell r="C454">
            <v>36</v>
          </cell>
        </row>
        <row r="455">
          <cell r="A455" t="str">
            <v>40052091</v>
          </cell>
          <cell r="B455" t="str">
            <v>FOOD CHARGES</v>
          </cell>
          <cell r="C455">
            <v>366</v>
          </cell>
        </row>
        <row r="456">
          <cell r="A456" t="str">
            <v>40052097</v>
          </cell>
          <cell r="B456" t="str">
            <v>FOOD CHARGES</v>
          </cell>
          <cell r="C456">
            <v>4601.51</v>
          </cell>
        </row>
        <row r="457">
          <cell r="A457" t="str">
            <v>40052098</v>
          </cell>
          <cell r="B457" t="str">
            <v>FOOD - MEDICAL STAFF</v>
          </cell>
          <cell r="C457">
            <v>3328.87</v>
          </cell>
        </row>
        <row r="458">
          <cell r="A458" t="str">
            <v>40054013</v>
          </cell>
          <cell r="B458" t="str">
            <v>LINEN &amp; BEDDING- CHILDBIRTH</v>
          </cell>
          <cell r="C458">
            <v>754.6</v>
          </cell>
        </row>
        <row r="459">
          <cell r="A459" t="str">
            <v>40054021</v>
          </cell>
          <cell r="B459" t="str">
            <v>LINEN + BEDDING - OR</v>
          </cell>
          <cell r="C459">
            <v>1193.76</v>
          </cell>
        </row>
        <row r="460">
          <cell r="A460" t="str">
            <v>40054086</v>
          </cell>
          <cell r="B460" t="str">
            <v>LINEN + BEDDING-LAUNDRY/LINEN</v>
          </cell>
          <cell r="C460">
            <v>41358.910000000003</v>
          </cell>
        </row>
        <row r="461">
          <cell r="A461" t="str">
            <v>40055085</v>
          </cell>
          <cell r="B461" t="str">
            <v>CLEANING SUPPLIES-HOUSEKEEPING</v>
          </cell>
          <cell r="C461">
            <v>3479.85</v>
          </cell>
        </row>
        <row r="462">
          <cell r="A462" t="str">
            <v>40056008</v>
          </cell>
          <cell r="B462" t="str">
            <v>OFF &amp; ADM SUPPLIES-PAT CARE SV</v>
          </cell>
          <cell r="C462">
            <v>74.8</v>
          </cell>
        </row>
        <row r="463">
          <cell r="A463" t="str">
            <v>40056009</v>
          </cell>
          <cell r="B463" t="str">
            <v>OFF + ADM. SUPPLIES-MSU</v>
          </cell>
          <cell r="C463">
            <v>13413.43</v>
          </cell>
        </row>
        <row r="464">
          <cell r="A464" t="str">
            <v>40056013</v>
          </cell>
          <cell r="B464" t="str">
            <v>OFF+ ADM. SUPPLIES-CHILDBIRTH</v>
          </cell>
          <cell r="C464">
            <v>3688.14</v>
          </cell>
        </row>
        <row r="465">
          <cell r="A465" t="str">
            <v>40056015</v>
          </cell>
          <cell r="B465" t="str">
            <v>OFF &amp; ADM SUPPLIES - ENT</v>
          </cell>
          <cell r="C465">
            <v>1964.43</v>
          </cell>
        </row>
        <row r="466">
          <cell r="A466" t="str">
            <v>40056017</v>
          </cell>
          <cell r="B466" t="str">
            <v>OFF &amp; ADM SUPPLIES-CVOSM</v>
          </cell>
          <cell r="C466">
            <v>5251.75</v>
          </cell>
        </row>
        <row r="467">
          <cell r="A467" t="str">
            <v>40056018</v>
          </cell>
          <cell r="B467" t="str">
            <v>OFF &amp; ADMIN SUPP-WINDHAM</v>
          </cell>
          <cell r="C467">
            <v>4234.6000000000004</v>
          </cell>
        </row>
        <row r="468">
          <cell r="A468" t="str">
            <v>40056019</v>
          </cell>
          <cell r="B468" t="str">
            <v>OFF &amp; ADM. SUPPLIES-PULM REHA</v>
          </cell>
          <cell r="C468">
            <v>320.29000000000002</v>
          </cell>
        </row>
        <row r="469">
          <cell r="A469" t="str">
            <v>40056020</v>
          </cell>
          <cell r="B469" t="str">
            <v>ADMINISTRATIVE SUPPLIES-MAMMO</v>
          </cell>
          <cell r="C469">
            <v>975.71</v>
          </cell>
        </row>
        <row r="470">
          <cell r="A470" t="str">
            <v>40056021</v>
          </cell>
          <cell r="B470" t="str">
            <v>OFF. + ADM. SUPPLIES-SURGICAL</v>
          </cell>
          <cell r="C470">
            <v>3912.28</v>
          </cell>
        </row>
        <row r="471">
          <cell r="A471" t="str">
            <v>40056022</v>
          </cell>
          <cell r="B471" t="str">
            <v>OFF. + ADM. SUPPLIES-RECOVERY</v>
          </cell>
          <cell r="C471">
            <v>464</v>
          </cell>
        </row>
        <row r="472">
          <cell r="A472" t="str">
            <v>40056023</v>
          </cell>
          <cell r="B472" t="str">
            <v>OFF. + ADM. SUPPLIES-EMERG SVC</v>
          </cell>
          <cell r="C472">
            <v>16885.28</v>
          </cell>
        </row>
        <row r="473">
          <cell r="A473" t="str">
            <v>40056024</v>
          </cell>
          <cell r="B473" t="str">
            <v>OFF. + ADM. SUPPLIES-1 DAY SGY</v>
          </cell>
          <cell r="C473">
            <v>1606.36</v>
          </cell>
        </row>
        <row r="474">
          <cell r="A474" t="str">
            <v>40056027</v>
          </cell>
          <cell r="B474" t="str">
            <v>OFF.&amp; ADM SUPPLIES-CENTRAL SVC</v>
          </cell>
          <cell r="C474">
            <v>5.72</v>
          </cell>
        </row>
        <row r="475">
          <cell r="A475" t="str">
            <v>40056028</v>
          </cell>
          <cell r="B475" t="str">
            <v>OFF.&amp;ADMIN. SUPP-SPEC. PROC.</v>
          </cell>
          <cell r="C475">
            <v>1036.55</v>
          </cell>
        </row>
        <row r="476">
          <cell r="A476" t="str">
            <v>40056029</v>
          </cell>
          <cell r="B476" t="str">
            <v>OFF. &amp; ADMIN SUPP-SPEC. SERV.</v>
          </cell>
          <cell r="C476">
            <v>2762.56</v>
          </cell>
        </row>
        <row r="477">
          <cell r="A477" t="str">
            <v>40056036</v>
          </cell>
          <cell r="B477" t="str">
            <v>OFF &amp; ADM SUPPLIES - MRI</v>
          </cell>
          <cell r="C477">
            <v>21.17</v>
          </cell>
        </row>
        <row r="478">
          <cell r="A478" t="str">
            <v>40056037</v>
          </cell>
          <cell r="B478" t="str">
            <v>OFF &amp; ADM SUPP-SURGICAL</v>
          </cell>
          <cell r="C478">
            <v>1994.2</v>
          </cell>
        </row>
        <row r="479">
          <cell r="A479" t="str">
            <v>40056040</v>
          </cell>
          <cell r="B479" t="str">
            <v>OFF &amp; ADMN SUPPLIES-ULTRASOUND</v>
          </cell>
          <cell r="C479">
            <v>308.27999999999997</v>
          </cell>
        </row>
        <row r="480">
          <cell r="A480" t="str">
            <v>40056041</v>
          </cell>
          <cell r="B480" t="str">
            <v>OFF. &amp; ADM. SUPPLIES-LAB-CLIN</v>
          </cell>
          <cell r="C480">
            <v>5013.22</v>
          </cell>
        </row>
        <row r="481">
          <cell r="A481" t="str">
            <v>40056044</v>
          </cell>
          <cell r="B481" t="str">
            <v>OFF. + ADM. SUPPLIES-RADIOLOGY</v>
          </cell>
          <cell r="C481">
            <v>7633.08</v>
          </cell>
        </row>
        <row r="482">
          <cell r="A482" t="str">
            <v>40056045</v>
          </cell>
          <cell r="B482" t="str">
            <v>OFF. &amp; ADM. SUPPLIES- CAT SCAN</v>
          </cell>
          <cell r="C482">
            <v>72.400000000000006</v>
          </cell>
        </row>
        <row r="483">
          <cell r="A483" t="str">
            <v>40056046</v>
          </cell>
          <cell r="B483" t="str">
            <v>OFF. + ADM. SUPPLIES-NUC MED</v>
          </cell>
          <cell r="C483">
            <v>13.2</v>
          </cell>
        </row>
        <row r="484">
          <cell r="A484" t="str">
            <v>40056047</v>
          </cell>
          <cell r="B484" t="str">
            <v>OFF. + ADM. SUPPLIES-PHARMACY</v>
          </cell>
          <cell r="C484">
            <v>4108.7700000000004</v>
          </cell>
        </row>
        <row r="485">
          <cell r="A485" t="str">
            <v>40056048</v>
          </cell>
          <cell r="B485" t="str">
            <v>OFF. + ADM. SUPPLIES-ANESTH</v>
          </cell>
          <cell r="C485">
            <v>1409.94</v>
          </cell>
        </row>
        <row r="486">
          <cell r="A486" t="str">
            <v>40056049</v>
          </cell>
          <cell r="B486" t="str">
            <v>OFF. + ADM. SUPPLIES-PHY THPY</v>
          </cell>
          <cell r="C486">
            <v>931.27</v>
          </cell>
        </row>
        <row r="487">
          <cell r="A487" t="str">
            <v>40056050</v>
          </cell>
          <cell r="B487" t="str">
            <v>OFF. + ADM. SUPPLIES-RESP THPY</v>
          </cell>
          <cell r="C487">
            <v>1169.29</v>
          </cell>
        </row>
        <row r="488">
          <cell r="A488" t="str">
            <v>40056055</v>
          </cell>
          <cell r="B488" t="str">
            <v>OFF &amp; ADM SUPPLIES</v>
          </cell>
          <cell r="C488">
            <v>148</v>
          </cell>
        </row>
        <row r="489">
          <cell r="A489" t="str">
            <v>40056057</v>
          </cell>
          <cell r="B489" t="str">
            <v>OFF. + ADM. SUPPLIES-MED REC</v>
          </cell>
          <cell r="C489">
            <v>4638.71</v>
          </cell>
        </row>
        <row r="490">
          <cell r="A490" t="str">
            <v>40056060</v>
          </cell>
          <cell r="B490" t="str">
            <v>OFF. + ADM. SUPPLIES-ADM &amp; GEN</v>
          </cell>
          <cell r="C490">
            <v>1674.77</v>
          </cell>
        </row>
        <row r="491">
          <cell r="A491" t="str">
            <v>40056061</v>
          </cell>
          <cell r="B491" t="str">
            <v>OFF. + ADM. SUPPLIES-PERSONNEL</v>
          </cell>
          <cell r="C491">
            <v>5705.28</v>
          </cell>
        </row>
        <row r="492">
          <cell r="A492" t="str">
            <v>40056062</v>
          </cell>
          <cell r="B492" t="str">
            <v>OFF. + ADM. SUPPLIES-QUALITY A</v>
          </cell>
          <cell r="C492">
            <v>2806.62</v>
          </cell>
        </row>
        <row r="493">
          <cell r="A493" t="str">
            <v>40056063</v>
          </cell>
          <cell r="B493" t="str">
            <v>OFF. + ADM. SUPPLIES-COMMUCN</v>
          </cell>
          <cell r="C493">
            <v>375.43</v>
          </cell>
        </row>
        <row r="494">
          <cell r="A494" t="str">
            <v>40056064</v>
          </cell>
          <cell r="B494" t="str">
            <v>OFF. + ADM. SUPPLIES-PUR &amp; STO</v>
          </cell>
          <cell r="C494">
            <v>1866.27</v>
          </cell>
        </row>
        <row r="495">
          <cell r="A495" t="str">
            <v>40056065</v>
          </cell>
          <cell r="B495" t="str">
            <v>OFF. + ADM. SUPPLIES-PUB REL</v>
          </cell>
          <cell r="C495">
            <v>44</v>
          </cell>
        </row>
        <row r="496">
          <cell r="A496" t="str">
            <v>40056067</v>
          </cell>
          <cell r="B496" t="str">
            <v>OFF. + ADM. SUPPLIES-MAILROOM</v>
          </cell>
          <cell r="C496">
            <v>214.2</v>
          </cell>
        </row>
        <row r="497">
          <cell r="A497" t="str">
            <v>40056068</v>
          </cell>
          <cell r="B497" t="str">
            <v>OFF. + ADM. SUPPLIES-PRINTING</v>
          </cell>
          <cell r="C497">
            <v>5082.4799999999996</v>
          </cell>
        </row>
        <row r="498">
          <cell r="A498" t="str">
            <v>40056072</v>
          </cell>
          <cell r="B498" t="str">
            <v>OFF &amp; ADMIN SUPP-RMH-MED RECOR</v>
          </cell>
          <cell r="C498">
            <v>148.83000000000001</v>
          </cell>
        </row>
        <row r="499">
          <cell r="A499" t="str">
            <v>40056073</v>
          </cell>
          <cell r="B499" t="str">
            <v>ADMIN SUPPLIES-SPFLD DAY CARE</v>
          </cell>
          <cell r="C499">
            <v>1674.84</v>
          </cell>
        </row>
        <row r="500">
          <cell r="A500" t="str">
            <v>40056076</v>
          </cell>
          <cell r="B500" t="str">
            <v>OFF. + ADM SUPPLIES-ED/HOSP WD</v>
          </cell>
          <cell r="C500">
            <v>1356.28</v>
          </cell>
        </row>
        <row r="501">
          <cell r="A501" t="str">
            <v>40056080</v>
          </cell>
          <cell r="B501" t="str">
            <v>OFF.+ ADM. SUPPLIES-DIETARY SE</v>
          </cell>
          <cell r="C501">
            <v>1642.99</v>
          </cell>
        </row>
        <row r="502">
          <cell r="A502" t="str">
            <v>40056083</v>
          </cell>
          <cell r="B502" t="str">
            <v>OFF. + ADM. SUPPLIES-PLANT MAI</v>
          </cell>
          <cell r="C502">
            <v>850.09</v>
          </cell>
        </row>
        <row r="503">
          <cell r="A503" t="str">
            <v>40056085</v>
          </cell>
          <cell r="B503" t="str">
            <v>OFF. + ADM. SUPPLIES-HSKP SERV</v>
          </cell>
          <cell r="C503">
            <v>39.840000000000003</v>
          </cell>
        </row>
        <row r="504">
          <cell r="A504" t="str">
            <v>40056089</v>
          </cell>
          <cell r="B504" t="str">
            <v>OFF. + ADM. SUPPLIES-OUTPT REG</v>
          </cell>
          <cell r="C504">
            <v>8602.64</v>
          </cell>
        </row>
        <row r="505">
          <cell r="A505" t="str">
            <v>40056090</v>
          </cell>
          <cell r="B505" t="str">
            <v>OFF &amp; ADMIN SUPPLIES/PFS</v>
          </cell>
          <cell r="C505">
            <v>302.74</v>
          </cell>
        </row>
        <row r="506">
          <cell r="A506" t="str">
            <v>40056091</v>
          </cell>
          <cell r="B506" t="str">
            <v>OFF. + ADM. SUPPLIES-DATA PROC</v>
          </cell>
          <cell r="C506">
            <v>658.97</v>
          </cell>
        </row>
        <row r="507">
          <cell r="A507" t="str">
            <v>40056092</v>
          </cell>
          <cell r="B507" t="str">
            <v>OFF. + ADM. SUPPLIES-GEN ACCT</v>
          </cell>
          <cell r="C507">
            <v>4586.95</v>
          </cell>
        </row>
        <row r="508">
          <cell r="A508" t="str">
            <v>40056093</v>
          </cell>
          <cell r="B508" t="str">
            <v>OFF. + ADM. SUPPLIES-CFO</v>
          </cell>
          <cell r="C508">
            <v>39.840000000000003</v>
          </cell>
        </row>
        <row r="509">
          <cell r="A509" t="str">
            <v>40056097</v>
          </cell>
          <cell r="B509" t="str">
            <v>OFF. + ADM. SUPPLIES-AUXILIARY</v>
          </cell>
          <cell r="C509">
            <v>263.89</v>
          </cell>
        </row>
        <row r="510">
          <cell r="A510" t="str">
            <v>40057009</v>
          </cell>
          <cell r="B510" t="str">
            <v>EMP WEARING APPAREL-MED/SURG I</v>
          </cell>
          <cell r="C510">
            <v>2946.84</v>
          </cell>
        </row>
        <row r="511">
          <cell r="A511" t="str">
            <v>40057013</v>
          </cell>
          <cell r="B511" t="str">
            <v>EMP WEARING APPAREL-CHILDBIRTH</v>
          </cell>
          <cell r="C511">
            <v>2010.74</v>
          </cell>
        </row>
        <row r="512">
          <cell r="A512" t="str">
            <v>40057017</v>
          </cell>
          <cell r="B512" t="str">
            <v>EMP WEARING APPAREL-CVOSM</v>
          </cell>
          <cell r="C512">
            <v>105.34</v>
          </cell>
        </row>
        <row r="513">
          <cell r="A513" t="str">
            <v>40057018</v>
          </cell>
          <cell r="B513" t="str">
            <v>EMP WEARING APPAREL-WINDHAM</v>
          </cell>
          <cell r="C513">
            <v>13.63</v>
          </cell>
        </row>
        <row r="514">
          <cell r="A514" t="str">
            <v>40057021</v>
          </cell>
          <cell r="B514" t="str">
            <v>EMP WEARING APPAREL - OR</v>
          </cell>
          <cell r="C514">
            <v>30165.119999999999</v>
          </cell>
        </row>
        <row r="515">
          <cell r="A515" t="str">
            <v>40057022</v>
          </cell>
          <cell r="B515" t="str">
            <v>EMP WEARING APPAREL-RECOVERY</v>
          </cell>
          <cell r="C515">
            <v>6.81</v>
          </cell>
        </row>
        <row r="516">
          <cell r="A516" t="str">
            <v>40057023</v>
          </cell>
          <cell r="B516" t="str">
            <v>EMP WEARING APPAREL-EMERG. SVC</v>
          </cell>
          <cell r="C516">
            <v>1020.96</v>
          </cell>
        </row>
        <row r="517">
          <cell r="A517" t="str">
            <v>40057024</v>
          </cell>
          <cell r="B517" t="str">
            <v>EMP WEARING APPAREL-1DAY SURGY</v>
          </cell>
          <cell r="C517">
            <v>-229.63</v>
          </cell>
        </row>
        <row r="518">
          <cell r="A518" t="str">
            <v>40057025</v>
          </cell>
          <cell r="B518" t="str">
            <v>EMP WEARING APPAREL-UROLOGY</v>
          </cell>
          <cell r="C518">
            <v>25.99</v>
          </cell>
        </row>
        <row r="519">
          <cell r="A519" t="str">
            <v>40057028</v>
          </cell>
          <cell r="B519" t="str">
            <v>EMP.WEARING APPAR-SPEC.PROC.</v>
          </cell>
          <cell r="C519">
            <v>1075.25</v>
          </cell>
        </row>
        <row r="520">
          <cell r="A520" t="str">
            <v>40057029</v>
          </cell>
          <cell r="B520" t="str">
            <v>EMP WEARING APP-SPEC.SERVICES</v>
          </cell>
          <cell r="C520">
            <v>88.95</v>
          </cell>
        </row>
        <row r="521">
          <cell r="A521" t="str">
            <v>40057036</v>
          </cell>
          <cell r="B521" t="str">
            <v>EMP. WEARING APPAREL/MRI</v>
          </cell>
          <cell r="C521">
            <v>6.82</v>
          </cell>
        </row>
        <row r="522">
          <cell r="A522" t="str">
            <v>40057041</v>
          </cell>
          <cell r="B522" t="str">
            <v>EMP WEARING APPAREL-LAB-CLIN</v>
          </cell>
          <cell r="C522">
            <v>3705.8</v>
          </cell>
        </row>
        <row r="523">
          <cell r="A523" t="str">
            <v>40057044</v>
          </cell>
          <cell r="B523" t="str">
            <v>EMP WEARING APPAREL-RADIOLOGY</v>
          </cell>
          <cell r="C523">
            <v>175.3</v>
          </cell>
        </row>
        <row r="524">
          <cell r="A524" t="str">
            <v>40057047</v>
          </cell>
          <cell r="B524" t="str">
            <v>EMP WEARING APPAREL-PHARMACY</v>
          </cell>
          <cell r="C524">
            <v>1471.17</v>
          </cell>
        </row>
        <row r="525">
          <cell r="A525" t="str">
            <v>40057048</v>
          </cell>
          <cell r="B525" t="str">
            <v>EMP WEARING APPAREL-ANESTH</v>
          </cell>
          <cell r="C525">
            <v>207.42</v>
          </cell>
        </row>
        <row r="526">
          <cell r="A526" t="str">
            <v>40057049</v>
          </cell>
          <cell r="B526" t="str">
            <v>EMP WEARING APPAREL-PHY THPY</v>
          </cell>
          <cell r="C526">
            <v>411.55</v>
          </cell>
        </row>
        <row r="527">
          <cell r="A527" t="str">
            <v>40057050</v>
          </cell>
          <cell r="B527" t="str">
            <v>EMP WEARING APPAREL-RESP THPY</v>
          </cell>
          <cell r="C527">
            <v>431.59</v>
          </cell>
        </row>
        <row r="528">
          <cell r="A528" t="str">
            <v>40057064</v>
          </cell>
          <cell r="B528" t="str">
            <v>EMP WEARING APPAREL-PUR &amp; STOR</v>
          </cell>
          <cell r="C528">
            <v>667.28</v>
          </cell>
        </row>
        <row r="529">
          <cell r="A529" t="str">
            <v>40057073</v>
          </cell>
          <cell r="B529" t="str">
            <v>EMP WEARING APPAREL-SPFLD DAY</v>
          </cell>
          <cell r="C529">
            <v>136.82</v>
          </cell>
        </row>
        <row r="530">
          <cell r="A530" t="str">
            <v>40057080</v>
          </cell>
          <cell r="B530" t="str">
            <v>EMP WEARING APPAREL-DIETARY SE</v>
          </cell>
          <cell r="C530">
            <v>2225.0700000000002</v>
          </cell>
        </row>
        <row r="531">
          <cell r="A531" t="str">
            <v>40057083</v>
          </cell>
          <cell r="B531" t="str">
            <v>EMP WEARING APPAREL-PLANT MAIN</v>
          </cell>
          <cell r="C531">
            <v>385.81</v>
          </cell>
        </row>
        <row r="532">
          <cell r="A532" t="str">
            <v>40057085</v>
          </cell>
          <cell r="B532" t="str">
            <v>EMP WEARING APPAREL-HSKP SERV</v>
          </cell>
          <cell r="C532">
            <v>1280.98</v>
          </cell>
        </row>
        <row r="533">
          <cell r="A533" t="str">
            <v>40058002</v>
          </cell>
          <cell r="B533" t="str">
            <v>INSTRMT &amp; SM EQP-RMG</v>
          </cell>
          <cell r="C533">
            <v>0</v>
          </cell>
        </row>
        <row r="534">
          <cell r="A534" t="str">
            <v>40058009</v>
          </cell>
          <cell r="B534" t="str">
            <v>INSTR + MINOR EQUIP-MSU</v>
          </cell>
          <cell r="C534">
            <v>5275.85</v>
          </cell>
        </row>
        <row r="535">
          <cell r="A535" t="str">
            <v>40058013</v>
          </cell>
          <cell r="B535" t="str">
            <v>INSTR + MINOR EQUIP-CHILDBIRTH</v>
          </cell>
          <cell r="C535">
            <v>7347.96</v>
          </cell>
        </row>
        <row r="536">
          <cell r="A536" t="str">
            <v>40058015</v>
          </cell>
          <cell r="B536" t="str">
            <v>INSTR &amp; MINOR EQUIP - ENT</v>
          </cell>
          <cell r="C536">
            <v>850.82</v>
          </cell>
        </row>
        <row r="537">
          <cell r="A537" t="str">
            <v>40058017</v>
          </cell>
          <cell r="B537" t="str">
            <v>INSTR &amp; MINOR EQUIP-CVOSM</v>
          </cell>
          <cell r="C537">
            <v>4804.71</v>
          </cell>
        </row>
        <row r="538">
          <cell r="A538" t="str">
            <v>40058018</v>
          </cell>
          <cell r="B538" t="str">
            <v>INSTR &amp; MINOR EQUIP-WINDHAM</v>
          </cell>
          <cell r="C538">
            <v>5815.92</v>
          </cell>
        </row>
        <row r="539">
          <cell r="A539" t="str">
            <v>40058019</v>
          </cell>
          <cell r="B539" t="str">
            <v>INSTR + MINOR EQUIP-PULM REHA</v>
          </cell>
          <cell r="C539">
            <v>187.2</v>
          </cell>
        </row>
        <row r="540">
          <cell r="A540" t="str">
            <v>40058021</v>
          </cell>
          <cell r="B540" t="str">
            <v>INSTR. + MINOR EQUIP - OR</v>
          </cell>
          <cell r="C540">
            <v>51971.54</v>
          </cell>
        </row>
        <row r="541">
          <cell r="A541" t="str">
            <v>40058022</v>
          </cell>
          <cell r="B541" t="str">
            <v>INSTR. &amp; MINOR EQUIP-RECOVERY</v>
          </cell>
          <cell r="C541">
            <v>16.84</v>
          </cell>
        </row>
        <row r="542">
          <cell r="A542" t="str">
            <v>40058023</v>
          </cell>
          <cell r="B542" t="str">
            <v>INSTR. + MINOR EQUIP-EMERG.SVC</v>
          </cell>
          <cell r="C542">
            <v>11831.2</v>
          </cell>
        </row>
        <row r="543">
          <cell r="A543" t="str">
            <v>40058024</v>
          </cell>
          <cell r="B543" t="str">
            <v>INSTR. + MINOR EQUIP-1DAY SURG</v>
          </cell>
          <cell r="C543">
            <v>955.95</v>
          </cell>
        </row>
        <row r="544">
          <cell r="A544" t="str">
            <v>40058028</v>
          </cell>
          <cell r="B544" t="str">
            <v>INSTR.&amp;MINOR EQUIP-SPEC.PROC.</v>
          </cell>
          <cell r="C544">
            <v>931</v>
          </cell>
        </row>
        <row r="545">
          <cell r="A545" t="str">
            <v>40058029</v>
          </cell>
          <cell r="B545" t="str">
            <v>INSTR.&amp; MINOR EQUIP-SP.SERVICE</v>
          </cell>
          <cell r="C545">
            <v>53.6</v>
          </cell>
        </row>
        <row r="546">
          <cell r="A546" t="str">
            <v>40058036</v>
          </cell>
          <cell r="B546" t="str">
            <v>INSTR. &amp; MINOR EQUIP - MRI</v>
          </cell>
          <cell r="C546">
            <v>91.68</v>
          </cell>
        </row>
        <row r="547">
          <cell r="A547" t="str">
            <v>40058037</v>
          </cell>
          <cell r="B547" t="str">
            <v>INSTR &amp; MINOR EQUIP-SURGICAL</v>
          </cell>
          <cell r="C547">
            <v>3915.44</v>
          </cell>
        </row>
        <row r="548">
          <cell r="A548" t="str">
            <v>40058040</v>
          </cell>
          <cell r="B548" t="str">
            <v>INSTRMNT &amp; MINOR EQP-ULTRASOUN</v>
          </cell>
          <cell r="C548">
            <v>1488.43</v>
          </cell>
        </row>
        <row r="549">
          <cell r="A549" t="str">
            <v>40058041</v>
          </cell>
          <cell r="B549" t="str">
            <v>INSTR. &amp; MIN EQUIP-LAB CLIN.</v>
          </cell>
          <cell r="C549">
            <v>554.95000000000005</v>
          </cell>
        </row>
        <row r="550">
          <cell r="A550" t="str">
            <v>40058044</v>
          </cell>
          <cell r="B550" t="str">
            <v>INSTR. + MINOR EQUIP-RADIOLOGY</v>
          </cell>
          <cell r="C550">
            <v>1681.83</v>
          </cell>
        </row>
        <row r="551">
          <cell r="A551" t="str">
            <v>40058045</v>
          </cell>
          <cell r="B551" t="str">
            <v>INSTR. + MINOR EQUIP-CAT SCAN</v>
          </cell>
          <cell r="C551">
            <v>638.41</v>
          </cell>
        </row>
        <row r="552">
          <cell r="A552" t="str">
            <v>40058047</v>
          </cell>
          <cell r="B552" t="str">
            <v>INSTR. + MINOR EQUIP-PHARMACY</v>
          </cell>
          <cell r="C552">
            <v>925.33</v>
          </cell>
        </row>
        <row r="553">
          <cell r="A553" t="str">
            <v>40058048</v>
          </cell>
          <cell r="B553" t="str">
            <v>INSTR. + MINOR EQUIP-ANESTH</v>
          </cell>
          <cell r="C553">
            <v>4143.01</v>
          </cell>
        </row>
        <row r="554">
          <cell r="A554" t="str">
            <v>40058049</v>
          </cell>
          <cell r="B554" t="str">
            <v>INSTR. + MINOR EQUIP-PHY THPY</v>
          </cell>
          <cell r="C554">
            <v>163.35</v>
          </cell>
        </row>
        <row r="555">
          <cell r="A555" t="str">
            <v>40058050</v>
          </cell>
          <cell r="B555" t="str">
            <v>INSTR. + MINOR EQUIP-RESP THPY</v>
          </cell>
          <cell r="C555">
            <v>1249.22</v>
          </cell>
        </row>
        <row r="556">
          <cell r="A556" t="str">
            <v>40058057</v>
          </cell>
          <cell r="B556" t="str">
            <v>INSTR. + MINOR EQUIP-MED REC</v>
          </cell>
          <cell r="C556">
            <v>115.55</v>
          </cell>
        </row>
        <row r="557">
          <cell r="A557" t="str">
            <v>40058060</v>
          </cell>
          <cell r="B557" t="str">
            <v>INSTR. + MINOR EQUIP-ADM &amp; GEN</v>
          </cell>
          <cell r="C557">
            <v>366.53</v>
          </cell>
        </row>
        <row r="558">
          <cell r="A558" t="str">
            <v>40058061</v>
          </cell>
          <cell r="B558" t="str">
            <v>INSTR. + MINOR EQUIP-PERSONNEL</v>
          </cell>
          <cell r="C558">
            <v>542.16</v>
          </cell>
        </row>
        <row r="559">
          <cell r="A559" t="str">
            <v>40058064</v>
          </cell>
          <cell r="B559" t="str">
            <v>INSTR. + MINOR EQUIP-PUR &amp; STO</v>
          </cell>
          <cell r="C559">
            <v>128.84</v>
          </cell>
        </row>
        <row r="560">
          <cell r="A560" t="str">
            <v>40058073</v>
          </cell>
          <cell r="B560" t="str">
            <v>MINOR EQUIP-SPFLD DAY CARE</v>
          </cell>
          <cell r="C560">
            <v>308.52</v>
          </cell>
        </row>
        <row r="561">
          <cell r="A561" t="str">
            <v>40058076</v>
          </cell>
          <cell r="B561" t="str">
            <v>INSTR. + MINOR EQUIP-ED/HOSP W</v>
          </cell>
          <cell r="C561">
            <v>188.89</v>
          </cell>
        </row>
        <row r="562">
          <cell r="A562" t="str">
            <v>40058080</v>
          </cell>
          <cell r="B562" t="str">
            <v>INSTR. + MINOR EQUIP-DIETARY</v>
          </cell>
          <cell r="C562">
            <v>2622.29</v>
          </cell>
        </row>
        <row r="563">
          <cell r="A563" t="str">
            <v>40058083</v>
          </cell>
          <cell r="B563" t="str">
            <v>INSTR. + MINOR EQUIP-PLANT MAI</v>
          </cell>
          <cell r="C563">
            <v>9637.6</v>
          </cell>
        </row>
        <row r="564">
          <cell r="A564" t="str">
            <v>40058085</v>
          </cell>
          <cell r="B564" t="str">
            <v>INSTR. + MINOR EQUIP-HSKP SERV</v>
          </cell>
          <cell r="C564">
            <v>1123.45</v>
          </cell>
        </row>
        <row r="565">
          <cell r="A565" t="str">
            <v>40058090</v>
          </cell>
          <cell r="B565" t="str">
            <v>INSTR. + MINOR EQUIP-PAT ACCT</v>
          </cell>
          <cell r="C565">
            <v>1672.98</v>
          </cell>
        </row>
        <row r="566">
          <cell r="A566" t="str">
            <v>40058091</v>
          </cell>
          <cell r="B566" t="str">
            <v>INSTR. + MINOR EQUIP-DATA PROC</v>
          </cell>
          <cell r="C566">
            <v>140954.21</v>
          </cell>
        </row>
        <row r="567">
          <cell r="A567" t="str">
            <v>40058092</v>
          </cell>
          <cell r="B567" t="str">
            <v>INSTR. + MINOR EQUIP-GEN ACCT</v>
          </cell>
          <cell r="C567">
            <v>553.12</v>
          </cell>
        </row>
        <row r="568">
          <cell r="A568" t="str">
            <v>40059002</v>
          </cell>
          <cell r="B568" t="str">
            <v>NON-MED SUPPLIES-GRT FALLS FAM</v>
          </cell>
          <cell r="C568">
            <v>0</v>
          </cell>
        </row>
        <row r="569">
          <cell r="A569" t="str">
            <v>40059009</v>
          </cell>
          <cell r="B569" t="str">
            <v>OTHER NON-MED SURG-MED/SURG I</v>
          </cell>
          <cell r="C569">
            <v>43611.68</v>
          </cell>
        </row>
        <row r="570">
          <cell r="A570" t="str">
            <v>40059013</v>
          </cell>
          <cell r="B570" t="str">
            <v>OTHER NON-MED SUP-CHILDBIRTH</v>
          </cell>
          <cell r="C570">
            <v>15729.28</v>
          </cell>
        </row>
        <row r="571">
          <cell r="A571" t="str">
            <v>40059014</v>
          </cell>
          <cell r="B571" t="str">
            <v>OTHER NONMED SUPPLIES</v>
          </cell>
          <cell r="C571">
            <v>0</v>
          </cell>
        </row>
        <row r="572">
          <cell r="A572" t="str">
            <v>40059015</v>
          </cell>
          <cell r="B572" t="str">
            <v>OTHER NON-MED SUP - ENT</v>
          </cell>
          <cell r="C572">
            <v>76678.559999999998</v>
          </cell>
        </row>
        <row r="573">
          <cell r="A573" t="str">
            <v>40059017</v>
          </cell>
          <cell r="B573" t="str">
            <v>OTHER NON-MED SUPP-CVOSM</v>
          </cell>
          <cell r="C573">
            <v>55327.31</v>
          </cell>
        </row>
        <row r="574">
          <cell r="A574" t="str">
            <v>40059018</v>
          </cell>
          <cell r="B574" t="str">
            <v>OTHER NON-MED SUPP-WINDHAM</v>
          </cell>
          <cell r="C574">
            <v>23981.33</v>
          </cell>
        </row>
        <row r="575">
          <cell r="A575" t="str">
            <v>40059019</v>
          </cell>
          <cell r="B575" t="str">
            <v>OTHER NON-MED SUP-PULM REHAB</v>
          </cell>
          <cell r="C575">
            <v>853.41</v>
          </cell>
        </row>
        <row r="576">
          <cell r="A576" t="str">
            <v>40059020</v>
          </cell>
          <cell r="B576" t="str">
            <v>OTHER NON-MED &amp; SURG. - MAMMO</v>
          </cell>
          <cell r="C576">
            <v>1194.6500000000001</v>
          </cell>
        </row>
        <row r="577">
          <cell r="A577" t="str">
            <v>40059021</v>
          </cell>
          <cell r="B577" t="str">
            <v>OTHER NON-MED SURG - OR</v>
          </cell>
          <cell r="C577">
            <v>126479.5</v>
          </cell>
        </row>
        <row r="578">
          <cell r="A578" t="str">
            <v>40059022</v>
          </cell>
          <cell r="B578" t="str">
            <v>OTHER NON-MED SURG-RECOVERY</v>
          </cell>
          <cell r="C578">
            <v>717.97</v>
          </cell>
        </row>
        <row r="579">
          <cell r="A579" t="str">
            <v>40059023</v>
          </cell>
          <cell r="B579" t="str">
            <v>OTHER NON-MED SURG-EMERG. SVCS</v>
          </cell>
          <cell r="C579">
            <v>46575.519999999997</v>
          </cell>
        </row>
        <row r="580">
          <cell r="A580" t="str">
            <v>40059024</v>
          </cell>
          <cell r="B580" t="str">
            <v>OTHER NON-MED SURG-1 DAY SURGY</v>
          </cell>
          <cell r="C580">
            <v>2233.09</v>
          </cell>
        </row>
        <row r="581">
          <cell r="A581" t="str">
            <v>40059028</v>
          </cell>
          <cell r="B581" t="str">
            <v>OTHER NONMED SURG-SPEC. PROC.</v>
          </cell>
          <cell r="C581">
            <v>23664.16</v>
          </cell>
        </row>
        <row r="582">
          <cell r="A582" t="str">
            <v>40059029</v>
          </cell>
          <cell r="B582" t="str">
            <v>OTHER NONMED SURG-SPEC SERVICE</v>
          </cell>
          <cell r="C582">
            <v>1787.2</v>
          </cell>
        </row>
        <row r="583">
          <cell r="A583" t="str">
            <v>40059036</v>
          </cell>
          <cell r="B583" t="str">
            <v>OTHER NON-MED SURG  MRI</v>
          </cell>
          <cell r="C583">
            <v>329.87</v>
          </cell>
        </row>
        <row r="584">
          <cell r="A584" t="str">
            <v>40059037</v>
          </cell>
          <cell r="B584" t="str">
            <v>OTHER NON-MED SUP-SURGICAL</v>
          </cell>
          <cell r="C584">
            <v>6482.32</v>
          </cell>
        </row>
        <row r="585">
          <cell r="A585" t="str">
            <v>40059038</v>
          </cell>
          <cell r="B585" t="str">
            <v>OTHER NON-MED SURG-OUTSIDE SAL</v>
          </cell>
          <cell r="C585">
            <v>0</v>
          </cell>
        </row>
        <row r="586">
          <cell r="A586" t="str">
            <v>40059040</v>
          </cell>
          <cell r="B586" t="str">
            <v>OTHER NON-MED SUPP-ULTRASOUND</v>
          </cell>
          <cell r="C586">
            <v>4272.97</v>
          </cell>
        </row>
        <row r="587">
          <cell r="A587" t="str">
            <v>40059041</v>
          </cell>
          <cell r="B587" t="str">
            <v>OTHER NON-MED SURG-LAB CLIN</v>
          </cell>
          <cell r="C587">
            <v>719195.84</v>
          </cell>
        </row>
        <row r="588">
          <cell r="A588" t="str">
            <v>40059042</v>
          </cell>
          <cell r="B588" t="str">
            <v>OTHER NON-MED SURG-BLOOD BANK</v>
          </cell>
          <cell r="C588">
            <v>5165.33</v>
          </cell>
        </row>
        <row r="589">
          <cell r="A589" t="str">
            <v>40059044</v>
          </cell>
          <cell r="B589" t="str">
            <v>OTHER NON-MED SURG-RADIOLOGY</v>
          </cell>
          <cell r="C589">
            <v>12390</v>
          </cell>
        </row>
        <row r="590">
          <cell r="A590" t="str">
            <v>40059045</v>
          </cell>
          <cell r="B590" t="str">
            <v>OTHER NON-MED SURG-CAT SCAN</v>
          </cell>
          <cell r="C590">
            <v>1277.56</v>
          </cell>
        </row>
        <row r="591">
          <cell r="A591" t="str">
            <v>40059046</v>
          </cell>
          <cell r="B591" t="str">
            <v>OTHER NON-MED SURG-NUCLEAR MED</v>
          </cell>
          <cell r="C591">
            <v>102.09</v>
          </cell>
        </row>
        <row r="592">
          <cell r="A592" t="str">
            <v>40059047</v>
          </cell>
          <cell r="B592" t="str">
            <v>OTHER NON-MED SURG-PHARMACY</v>
          </cell>
          <cell r="C592">
            <v>10803.66</v>
          </cell>
        </row>
        <row r="593">
          <cell r="A593" t="str">
            <v>40059048</v>
          </cell>
          <cell r="B593" t="str">
            <v>OTHER NON-MED SURG-ANESTH</v>
          </cell>
          <cell r="C593">
            <v>7642.8</v>
          </cell>
        </row>
        <row r="594">
          <cell r="A594" t="str">
            <v>40059049</v>
          </cell>
          <cell r="B594" t="str">
            <v>OTHER NON-MED SURG-PHY THPY</v>
          </cell>
          <cell r="C594">
            <v>3258.52</v>
          </cell>
        </row>
        <row r="595">
          <cell r="A595" t="str">
            <v>40059050</v>
          </cell>
          <cell r="B595" t="str">
            <v>OTHER NON-MED SURG-RESP THPY</v>
          </cell>
          <cell r="C595">
            <v>11812.18</v>
          </cell>
        </row>
        <row r="596">
          <cell r="A596" t="str">
            <v>40059055</v>
          </cell>
          <cell r="B596" t="str">
            <v>OTHER NON-MED SURG</v>
          </cell>
          <cell r="C596">
            <v>0.67</v>
          </cell>
        </row>
        <row r="597">
          <cell r="A597" t="str">
            <v>40059057</v>
          </cell>
          <cell r="B597" t="str">
            <v>OTHER NON-MED SURG-MED RECORDS</v>
          </cell>
          <cell r="C597">
            <v>24.05</v>
          </cell>
        </row>
        <row r="598">
          <cell r="A598" t="str">
            <v>40059060</v>
          </cell>
          <cell r="B598" t="str">
            <v>OTHER NON-MED SURG-ADM AND GEN</v>
          </cell>
          <cell r="C598">
            <v>4133.8599999999997</v>
          </cell>
        </row>
        <row r="599">
          <cell r="A599" t="str">
            <v>40059061</v>
          </cell>
          <cell r="B599" t="str">
            <v>OTHER NON-MED SURG-PERSONNEL</v>
          </cell>
          <cell r="C599">
            <v>652.17999999999995</v>
          </cell>
        </row>
        <row r="600">
          <cell r="A600" t="str">
            <v>40059062</v>
          </cell>
          <cell r="B600" t="str">
            <v>OTHER NON-MED -QUALITY ASSUR.</v>
          </cell>
          <cell r="C600">
            <v>899.7</v>
          </cell>
        </row>
        <row r="601">
          <cell r="A601" t="str">
            <v>40059063</v>
          </cell>
          <cell r="B601" t="str">
            <v>OTHER NON-MED SURG-COMMUCN</v>
          </cell>
          <cell r="C601">
            <v>100.3</v>
          </cell>
        </row>
        <row r="602">
          <cell r="A602" t="str">
            <v>40059064</v>
          </cell>
          <cell r="B602" t="str">
            <v>OTHER NON-MED SURG-PUR &amp; STORE</v>
          </cell>
          <cell r="C602">
            <v>218.7</v>
          </cell>
        </row>
        <row r="603">
          <cell r="A603" t="str">
            <v>40059065</v>
          </cell>
          <cell r="B603" t="str">
            <v>OTHER NON-MED SURG-PUB REL</v>
          </cell>
          <cell r="C603">
            <v>665.96</v>
          </cell>
        </row>
        <row r="604">
          <cell r="A604" t="str">
            <v>40059067</v>
          </cell>
          <cell r="B604" t="str">
            <v>OTHER NON-MED SURG-MAILROOM</v>
          </cell>
          <cell r="C604">
            <v>460</v>
          </cell>
        </row>
        <row r="605">
          <cell r="A605" t="str">
            <v>40059073</v>
          </cell>
          <cell r="B605" t="str">
            <v>OTHER NONMED/SURG.-SPFLD DAYCA</v>
          </cell>
          <cell r="C605">
            <v>4432.7700000000004</v>
          </cell>
        </row>
        <row r="606">
          <cell r="A606" t="str">
            <v>40059076</v>
          </cell>
          <cell r="B606" t="str">
            <v>OTHER NON-MED SURG-ED/HOSP WID</v>
          </cell>
          <cell r="C606">
            <v>1769.35</v>
          </cell>
        </row>
        <row r="607">
          <cell r="A607" t="str">
            <v>40059079</v>
          </cell>
          <cell r="B607" t="str">
            <v>OTHER NON-MED SUPPLIES</v>
          </cell>
          <cell r="C607">
            <v>0</v>
          </cell>
        </row>
        <row r="608">
          <cell r="A608" t="str">
            <v>40059080</v>
          </cell>
          <cell r="B608" t="str">
            <v>OTHER NON-MED SURG-DIETARY SER</v>
          </cell>
          <cell r="C608">
            <v>9975.4500000000007</v>
          </cell>
        </row>
        <row r="609">
          <cell r="A609" t="str">
            <v>40059083</v>
          </cell>
          <cell r="B609" t="str">
            <v>OTHER NON-MED SURG-PLANT MAINT</v>
          </cell>
          <cell r="C609">
            <v>65777.149999999994</v>
          </cell>
        </row>
        <row r="610">
          <cell r="A610" t="str">
            <v>40059084</v>
          </cell>
          <cell r="B610" t="str">
            <v>OTHER NON-MED SUPP-RMH-P.T.</v>
          </cell>
          <cell r="C610">
            <v>99.02</v>
          </cell>
        </row>
        <row r="611">
          <cell r="A611" t="str">
            <v>40059085</v>
          </cell>
          <cell r="B611" t="str">
            <v>OTHER NON-MED SURG-HSKP SERVIC</v>
          </cell>
          <cell r="C611">
            <v>42131.519999999997</v>
          </cell>
        </row>
        <row r="612">
          <cell r="A612" t="str">
            <v>40059086</v>
          </cell>
          <cell r="B612" t="str">
            <v>OTHER NON-MED SURG-LAUND/LINEN</v>
          </cell>
          <cell r="C612">
            <v>1342.08</v>
          </cell>
        </row>
        <row r="613">
          <cell r="A613" t="str">
            <v>40059089</v>
          </cell>
          <cell r="B613" t="str">
            <v>OTHER NON-MED SURG-OUTPT REG</v>
          </cell>
          <cell r="C613">
            <v>7416</v>
          </cell>
        </row>
        <row r="614">
          <cell r="A614" t="str">
            <v>40059092</v>
          </cell>
          <cell r="B614" t="str">
            <v>OTHER NON-MED SURG-GEN ACCT</v>
          </cell>
          <cell r="C614">
            <v>23.82</v>
          </cell>
        </row>
        <row r="615">
          <cell r="A615" t="str">
            <v>40059097</v>
          </cell>
          <cell r="B615" t="str">
            <v>OTHER NON-MED SURG-AUXILIARY</v>
          </cell>
          <cell r="C615">
            <v>501.52</v>
          </cell>
        </row>
        <row r="616">
          <cell r="A616" t="str">
            <v>40061015</v>
          </cell>
          <cell r="B616" t="str">
            <v>ELECTRICITY - ENT</v>
          </cell>
          <cell r="C616">
            <v>4550.58</v>
          </cell>
        </row>
        <row r="617">
          <cell r="A617" t="str">
            <v>40061017</v>
          </cell>
          <cell r="B617" t="str">
            <v>ELECTRICITY-CVOSM</v>
          </cell>
          <cell r="C617">
            <v>19288</v>
          </cell>
        </row>
        <row r="618">
          <cell r="A618" t="str">
            <v>40061037</v>
          </cell>
          <cell r="B618" t="str">
            <v>ELECTRICTY-GEN SURGERY</v>
          </cell>
          <cell r="C618">
            <v>4460.12</v>
          </cell>
        </row>
        <row r="619">
          <cell r="A619" t="str">
            <v>40061041</v>
          </cell>
          <cell r="B619" t="str">
            <v>ELECTRICITY-LAB</v>
          </cell>
          <cell r="C619">
            <v>1279.68</v>
          </cell>
        </row>
        <row r="620">
          <cell r="A620" t="str">
            <v>40061049</v>
          </cell>
          <cell r="B620" t="str">
            <v>ELECTRICITY-PT</v>
          </cell>
          <cell r="C620">
            <v>10396.700000000001</v>
          </cell>
        </row>
        <row r="621">
          <cell r="A621" t="str">
            <v>40061073</v>
          </cell>
          <cell r="B621" t="str">
            <v>ELECTRICITY-SPFLD ADULT DAY</v>
          </cell>
          <cell r="C621">
            <v>11895.87</v>
          </cell>
        </row>
        <row r="622">
          <cell r="A622" t="str">
            <v>40061075</v>
          </cell>
          <cell r="B622" t="str">
            <v>ELECTRICITY-BELLOWS FALLS</v>
          </cell>
          <cell r="C622">
            <v>23785.439999999999</v>
          </cell>
        </row>
        <row r="623">
          <cell r="A623" t="str">
            <v>40061083</v>
          </cell>
          <cell r="B623" t="str">
            <v>ELECTRICITY-PLANT MAINTENANCE</v>
          </cell>
          <cell r="C623">
            <v>353633.76</v>
          </cell>
        </row>
        <row r="624">
          <cell r="A624" t="str">
            <v>40061090</v>
          </cell>
          <cell r="B624" t="str">
            <v>ELECTRICITY</v>
          </cell>
          <cell r="C624">
            <v>3282.69</v>
          </cell>
        </row>
        <row r="625">
          <cell r="A625" t="str">
            <v>40062018</v>
          </cell>
          <cell r="B625" t="str">
            <v>FUEL/WINDHAM CTR</v>
          </cell>
          <cell r="C625">
            <v>1671.89</v>
          </cell>
        </row>
        <row r="626">
          <cell r="A626" t="str">
            <v>40062041</v>
          </cell>
          <cell r="B626" t="str">
            <v>FUEL-LAB</v>
          </cell>
          <cell r="C626">
            <v>526.66999999999996</v>
          </cell>
        </row>
        <row r="627">
          <cell r="A627" t="str">
            <v>40062049</v>
          </cell>
          <cell r="B627" t="str">
            <v>FUEL-PT</v>
          </cell>
          <cell r="C627">
            <v>4278.99</v>
          </cell>
        </row>
        <row r="628">
          <cell r="A628" t="str">
            <v>40062073</v>
          </cell>
          <cell r="B628" t="str">
            <v>FUEL-SPFLD ADULT DAYCARE</v>
          </cell>
          <cell r="C628">
            <v>10689.88</v>
          </cell>
        </row>
        <row r="629">
          <cell r="A629" t="str">
            <v>40062075</v>
          </cell>
          <cell r="B629" t="str">
            <v>FUEL BELLOWS FALLS LOCATION</v>
          </cell>
          <cell r="C629">
            <v>48000</v>
          </cell>
        </row>
        <row r="630">
          <cell r="A630" t="str">
            <v>40062083</v>
          </cell>
          <cell r="B630" t="str">
            <v>FUEL-PLANT MAINTENANCE</v>
          </cell>
          <cell r="C630">
            <v>301212.03000000003</v>
          </cell>
        </row>
        <row r="631">
          <cell r="A631" t="str">
            <v>40062090</v>
          </cell>
          <cell r="B631" t="str">
            <v>FUEL-PFS</v>
          </cell>
          <cell r="C631">
            <v>1351.06</v>
          </cell>
        </row>
        <row r="632">
          <cell r="A632" t="str">
            <v>40063075</v>
          </cell>
          <cell r="B632" t="str">
            <v>SEWER/WATER BELLOWS FALLS</v>
          </cell>
          <cell r="C632">
            <v>6000</v>
          </cell>
        </row>
        <row r="633">
          <cell r="A633" t="str">
            <v>40063083</v>
          </cell>
          <cell r="B633" t="str">
            <v>WATER-PLANT MAINTENANCE</v>
          </cell>
          <cell r="C633">
            <v>67177.509999999995</v>
          </cell>
        </row>
        <row r="634">
          <cell r="A634" t="str">
            <v>40064015</v>
          </cell>
          <cell r="B634" t="str">
            <v>DISPOSAL SERVICE-ENT</v>
          </cell>
          <cell r="C634">
            <v>949.15</v>
          </cell>
        </row>
        <row r="635">
          <cell r="A635" t="str">
            <v>40064017</v>
          </cell>
          <cell r="B635" t="str">
            <v>DISPOSAL SERVICE-CVOSM</v>
          </cell>
          <cell r="C635">
            <v>2674.44</v>
          </cell>
        </row>
        <row r="636">
          <cell r="A636" t="str">
            <v>40064037</v>
          </cell>
          <cell r="B636" t="str">
            <v>DISPOSAL SERV/GEN SURG</v>
          </cell>
          <cell r="C636">
            <v>712</v>
          </cell>
        </row>
        <row r="637">
          <cell r="A637" t="str">
            <v>40064041</v>
          </cell>
          <cell r="B637" t="str">
            <v>DISPOSAL SERV-LAB</v>
          </cell>
          <cell r="C637">
            <v>2114.69</v>
          </cell>
        </row>
        <row r="638">
          <cell r="A638" t="str">
            <v>40064047</v>
          </cell>
          <cell r="B638" t="str">
            <v>DISPOSAL SERVICES/PHARM</v>
          </cell>
          <cell r="C638">
            <v>2018.25</v>
          </cell>
        </row>
        <row r="639">
          <cell r="A639" t="str">
            <v>40064073</v>
          </cell>
          <cell r="B639" t="str">
            <v>DISPOSAL SERV-ADS</v>
          </cell>
          <cell r="C639">
            <v>2279</v>
          </cell>
        </row>
        <row r="640">
          <cell r="A640" t="str">
            <v>40064083</v>
          </cell>
          <cell r="B640" t="str">
            <v>DISPOSAL SERVICE-PLANT MAIN.</v>
          </cell>
          <cell r="C640">
            <v>75103.649999999994</v>
          </cell>
        </row>
        <row r="641">
          <cell r="A641" t="str">
            <v>40065015</v>
          </cell>
          <cell r="B641" t="str">
            <v>TELEPHONE - ENT</v>
          </cell>
          <cell r="C641">
            <v>1860</v>
          </cell>
        </row>
        <row r="642">
          <cell r="A642" t="str">
            <v>40065017</v>
          </cell>
          <cell r="B642" t="str">
            <v>TELEPHONE-CVOSM</v>
          </cell>
          <cell r="C642">
            <v>6784.43</v>
          </cell>
        </row>
        <row r="643">
          <cell r="A643" t="str">
            <v>40065018</v>
          </cell>
          <cell r="B643" t="str">
            <v>TELEPHONE - PSYCH UNIT</v>
          </cell>
          <cell r="C643">
            <v>1682.91</v>
          </cell>
        </row>
        <row r="644">
          <cell r="A644" t="str">
            <v>40065037</v>
          </cell>
          <cell r="B644" t="str">
            <v>TELEPHONE-GEN SURGERY</v>
          </cell>
          <cell r="C644">
            <v>3480.33</v>
          </cell>
        </row>
        <row r="645">
          <cell r="A645" t="str">
            <v>40065063</v>
          </cell>
          <cell r="B645" t="str">
            <v>TELEPHONE/INFO DESK</v>
          </cell>
          <cell r="C645">
            <v>471.23</v>
          </cell>
        </row>
        <row r="646">
          <cell r="A646" t="str">
            <v>40065066</v>
          </cell>
          <cell r="B646" t="str">
            <v>TELEPHONE/TELEGRAPH-TELEPHONE</v>
          </cell>
          <cell r="C646">
            <v>84224.86</v>
          </cell>
        </row>
        <row r="647">
          <cell r="A647" t="str">
            <v>40065073</v>
          </cell>
          <cell r="B647" t="str">
            <v>Telephone Spfld Adult Daycare</v>
          </cell>
          <cell r="C647">
            <v>3495.02</v>
          </cell>
        </row>
        <row r="648">
          <cell r="A648" t="str">
            <v>40065083</v>
          </cell>
          <cell r="B648" t="str">
            <v>TELEPHONE/TELEGRAPH-PLANT MAIN</v>
          </cell>
          <cell r="C648">
            <v>3141.64</v>
          </cell>
        </row>
        <row r="649">
          <cell r="A649" t="str">
            <v>40066009</v>
          </cell>
          <cell r="B649" t="str">
            <v>TEMP DIRECT EXPENSE</v>
          </cell>
          <cell r="C649">
            <v>23761.5</v>
          </cell>
        </row>
        <row r="650">
          <cell r="A650" t="str">
            <v>40066023</v>
          </cell>
          <cell r="B650" t="str">
            <v>TEMP DIRECT</v>
          </cell>
          <cell r="C650">
            <v>35529.620000000003</v>
          </cell>
        </row>
        <row r="651">
          <cell r="A651" t="str">
            <v>40066041</v>
          </cell>
          <cell r="B651" t="str">
            <v>TEMP DIRECT</v>
          </cell>
          <cell r="C651">
            <v>57750</v>
          </cell>
        </row>
        <row r="652">
          <cell r="A652" t="str">
            <v>40066044</v>
          </cell>
          <cell r="B652" t="str">
            <v>TEMP DIRECT EXPENSE</v>
          </cell>
          <cell r="C652">
            <v>8486.32</v>
          </cell>
        </row>
        <row r="653">
          <cell r="A653" t="str">
            <v>40066049</v>
          </cell>
          <cell r="B653" t="str">
            <v>TEMP DIRECT-PT</v>
          </cell>
          <cell r="C653">
            <v>169566.22</v>
          </cell>
        </row>
        <row r="654">
          <cell r="A654" t="str">
            <v>40072008</v>
          </cell>
          <cell r="B654" t="str">
            <v>MAINT &amp; REPAIRS-PAT CARE SVCS</v>
          </cell>
          <cell r="C654">
            <v>16</v>
          </cell>
        </row>
        <row r="655">
          <cell r="A655" t="str">
            <v>40072009</v>
          </cell>
          <cell r="B655" t="str">
            <v>MAIN/REPAIRS-MED/SURG I</v>
          </cell>
          <cell r="C655">
            <v>5833</v>
          </cell>
        </row>
        <row r="656">
          <cell r="A656" t="str">
            <v>40072013</v>
          </cell>
          <cell r="B656" t="str">
            <v>MAINT+ REPAIRS-CHILDBIRTH</v>
          </cell>
          <cell r="C656">
            <v>2150</v>
          </cell>
        </row>
        <row r="657">
          <cell r="A657" t="str">
            <v>40072015</v>
          </cell>
          <cell r="B657" t="str">
            <v>MAINT &amp; REPAIRS - ENT</v>
          </cell>
          <cell r="C657">
            <v>442.86</v>
          </cell>
        </row>
        <row r="658">
          <cell r="A658" t="str">
            <v>40072017</v>
          </cell>
          <cell r="B658" t="str">
            <v>MAINT &amp; REPAIRS-CVOSM</v>
          </cell>
          <cell r="C658">
            <v>51328.45</v>
          </cell>
        </row>
        <row r="659">
          <cell r="A659" t="str">
            <v>40072018</v>
          </cell>
          <cell r="B659" t="str">
            <v>MAINT &amp; RPR,EQUIP-WINDHAM</v>
          </cell>
          <cell r="C659">
            <v>9686.19</v>
          </cell>
        </row>
        <row r="660">
          <cell r="A660" t="str">
            <v>40072020</v>
          </cell>
          <cell r="B660" t="str">
            <v>MAIN. &amp; REPAIR - MAMMO</v>
          </cell>
          <cell r="C660">
            <v>25744.32</v>
          </cell>
        </row>
        <row r="661">
          <cell r="A661" t="str">
            <v>40072021</v>
          </cell>
          <cell r="B661" t="str">
            <v>MAINT + REPAIRS - OR</v>
          </cell>
          <cell r="C661">
            <v>41736.9</v>
          </cell>
        </row>
        <row r="662">
          <cell r="A662" t="str">
            <v>40072022</v>
          </cell>
          <cell r="B662" t="str">
            <v>MAINT &amp; REPAIRS-RECOVERY</v>
          </cell>
          <cell r="C662">
            <v>1317</v>
          </cell>
        </row>
        <row r="663">
          <cell r="A663" t="str">
            <v>40072023</v>
          </cell>
          <cell r="B663" t="str">
            <v>MAINT. + REPAIRS-EMERGENCY SVC</v>
          </cell>
          <cell r="C663">
            <v>6109.58</v>
          </cell>
        </row>
        <row r="664">
          <cell r="A664" t="str">
            <v>40072024</v>
          </cell>
          <cell r="B664" t="str">
            <v>MAINT + REPAIRS-ONE DAY SURGRY</v>
          </cell>
          <cell r="C664">
            <v>445</v>
          </cell>
        </row>
        <row r="665">
          <cell r="A665" t="str">
            <v>40072027</v>
          </cell>
          <cell r="B665" t="str">
            <v>MAINT &amp; REPAIRS-CENTRAL SVC</v>
          </cell>
          <cell r="C665">
            <v>55.27</v>
          </cell>
        </row>
        <row r="666">
          <cell r="A666" t="str">
            <v>40072028</v>
          </cell>
          <cell r="B666" t="str">
            <v>MAINT.&amp; REPAIRS-SPEC. PROC.</v>
          </cell>
          <cell r="C666">
            <v>3819.5</v>
          </cell>
        </row>
        <row r="667">
          <cell r="A667" t="str">
            <v>40072029</v>
          </cell>
          <cell r="B667" t="str">
            <v>MAINT &amp; REPAIRS-SPEC SERVICES</v>
          </cell>
          <cell r="C667">
            <v>1196</v>
          </cell>
        </row>
        <row r="668">
          <cell r="A668" t="str">
            <v>40072037</v>
          </cell>
          <cell r="B668" t="str">
            <v>MAIN &amp; REPAIRS-SURGICAL</v>
          </cell>
          <cell r="C668">
            <v>329.56</v>
          </cell>
        </row>
        <row r="669">
          <cell r="A669" t="str">
            <v>40072040</v>
          </cell>
          <cell r="B669" t="str">
            <v>MAINT &amp; REPAIR-ULTRASOUND</v>
          </cell>
          <cell r="C669">
            <v>1003.31</v>
          </cell>
        </row>
        <row r="670">
          <cell r="A670" t="str">
            <v>40072041</v>
          </cell>
          <cell r="B670" t="str">
            <v>MAINT. &amp; REPAIRS-LAB-CLIN</v>
          </cell>
          <cell r="C670">
            <v>27237.33</v>
          </cell>
        </row>
        <row r="671">
          <cell r="A671" t="str">
            <v>40072044</v>
          </cell>
          <cell r="B671" t="str">
            <v>MAINT + REPAIRS-RADIOLOGY</v>
          </cell>
          <cell r="C671">
            <v>299044.11</v>
          </cell>
        </row>
        <row r="672">
          <cell r="A672" t="str">
            <v>40072045</v>
          </cell>
          <cell r="B672" t="str">
            <v>MAIN &amp; REPAIR-CAT SCAN</v>
          </cell>
          <cell r="C672">
            <v>146767.85999999999</v>
          </cell>
        </row>
        <row r="673">
          <cell r="A673" t="str">
            <v>40072047</v>
          </cell>
          <cell r="B673" t="str">
            <v>MAINT.+ REPAIRS - PHARMACY</v>
          </cell>
          <cell r="C673">
            <v>5729.5</v>
          </cell>
        </row>
        <row r="674">
          <cell r="A674" t="str">
            <v>40072048</v>
          </cell>
          <cell r="B674" t="str">
            <v>MAINT + REPAIRS-ANESTHESIOLOGY</v>
          </cell>
          <cell r="C674">
            <v>1869</v>
          </cell>
        </row>
        <row r="675">
          <cell r="A675" t="str">
            <v>40072055</v>
          </cell>
          <cell r="B675" t="str">
            <v>MAINTENANCE &amp; REPAIR</v>
          </cell>
          <cell r="C675">
            <v>24035.21</v>
          </cell>
        </row>
        <row r="676">
          <cell r="A676" t="str">
            <v>40072057</v>
          </cell>
          <cell r="B676" t="str">
            <v>MAINT + REPAIRS-MEDICAL REC</v>
          </cell>
          <cell r="C676">
            <v>8327.75</v>
          </cell>
        </row>
        <row r="677">
          <cell r="A677" t="str">
            <v>40072060</v>
          </cell>
          <cell r="B677" t="str">
            <v>MAINT + REPAIRS-ADM AND GEN</v>
          </cell>
          <cell r="C677">
            <v>20.69</v>
          </cell>
        </row>
        <row r="678">
          <cell r="A678" t="str">
            <v>40072064</v>
          </cell>
          <cell r="B678" t="str">
            <v>MAINT + REPAIRS-PUR &amp; STORES</v>
          </cell>
          <cell r="C678">
            <v>1547</v>
          </cell>
        </row>
        <row r="679">
          <cell r="A679" t="str">
            <v>40072065</v>
          </cell>
          <cell r="B679" t="str">
            <v>MAINT + REPAIRS-PUB REL</v>
          </cell>
          <cell r="C679">
            <v>21.2</v>
          </cell>
        </row>
        <row r="680">
          <cell r="A680" t="str">
            <v>40072068</v>
          </cell>
          <cell r="B680" t="str">
            <v>MAINT + REPAIRS-PRINTING</v>
          </cell>
          <cell r="C680">
            <v>4114.09</v>
          </cell>
        </row>
        <row r="681">
          <cell r="A681" t="str">
            <v>40072069</v>
          </cell>
          <cell r="B681" t="str">
            <v>MAINT &amp; REPAIRS</v>
          </cell>
          <cell r="C681">
            <v>8713.5499999999993</v>
          </cell>
        </row>
        <row r="682">
          <cell r="A682" t="str">
            <v>40072073</v>
          </cell>
          <cell r="B682" t="str">
            <v>MAINT/REPAIRS-SPFLD DAYCARE</v>
          </cell>
          <cell r="C682">
            <v>1549.05</v>
          </cell>
        </row>
        <row r="683">
          <cell r="A683" t="str">
            <v>40072080</v>
          </cell>
          <cell r="B683" t="str">
            <v>MAINT + REPAIRS-DIETARY SERVIC</v>
          </cell>
          <cell r="C683">
            <v>1497.04</v>
          </cell>
        </row>
        <row r="684">
          <cell r="A684" t="str">
            <v>40072083</v>
          </cell>
          <cell r="B684" t="str">
            <v>MAINT &amp; REPAIRS-PLANT MAIN.</v>
          </cell>
          <cell r="C684">
            <v>70417.27</v>
          </cell>
        </row>
        <row r="685">
          <cell r="A685" t="str">
            <v>40072085</v>
          </cell>
          <cell r="B685" t="str">
            <v>MAINT + REPAIRS-HSKP SERVICES</v>
          </cell>
          <cell r="C685">
            <v>2461.46</v>
          </cell>
        </row>
        <row r="686">
          <cell r="A686" t="str">
            <v>40072089</v>
          </cell>
          <cell r="B686" t="str">
            <v>MAINT + REPAIRS-OUTPATIENT REG</v>
          </cell>
          <cell r="C686">
            <v>298.98</v>
          </cell>
        </row>
        <row r="687">
          <cell r="A687" t="str">
            <v>40072090</v>
          </cell>
          <cell r="B687" t="str">
            <v>MAINT + REPAIRS-PATIENT ACCT</v>
          </cell>
          <cell r="C687">
            <v>701.73</v>
          </cell>
        </row>
        <row r="688">
          <cell r="A688" t="str">
            <v>40072091</v>
          </cell>
          <cell r="B688" t="str">
            <v>MAINT + REPAIRS-DATA PROCESS</v>
          </cell>
          <cell r="C688">
            <v>5303.71</v>
          </cell>
        </row>
        <row r="689">
          <cell r="A689" t="str">
            <v>40072092</v>
          </cell>
          <cell r="B689" t="str">
            <v>MAINT + REPAIRS-GENERAL ACCT</v>
          </cell>
          <cell r="C689">
            <v>1650</v>
          </cell>
        </row>
        <row r="690">
          <cell r="A690" t="str">
            <v>40074017</v>
          </cell>
          <cell r="B690" t="str">
            <v>LAUNDRY &amp; LINEN-CVOSM</v>
          </cell>
          <cell r="C690">
            <v>440.38</v>
          </cell>
        </row>
        <row r="691">
          <cell r="A691" t="str">
            <v>40074049</v>
          </cell>
          <cell r="B691" t="str">
            <v>LAUNDRY/LINEN-PT</v>
          </cell>
          <cell r="C691">
            <v>50.95</v>
          </cell>
        </row>
        <row r="692">
          <cell r="A692" t="str">
            <v>40074055</v>
          </cell>
          <cell r="B692" t="str">
            <v>LAUNDRY/LINEN CODING</v>
          </cell>
          <cell r="C692">
            <v>1059.8900000000001</v>
          </cell>
        </row>
        <row r="693">
          <cell r="A693" t="str">
            <v>40074084</v>
          </cell>
          <cell r="B693" t="str">
            <v>LAUNDRY/LINEN-PT BF</v>
          </cell>
          <cell r="C693">
            <v>532.48</v>
          </cell>
        </row>
        <row r="694">
          <cell r="A694" t="str">
            <v>40074086</v>
          </cell>
          <cell r="B694" t="str">
            <v>LAUNDRY + LINEN--LAUND &amp; LINEN</v>
          </cell>
          <cell r="C694">
            <v>126458.75</v>
          </cell>
        </row>
        <row r="695">
          <cell r="A695" t="str">
            <v>40075047</v>
          </cell>
          <cell r="B695" t="str">
            <v>DATA PROCESSING-PHARMACY</v>
          </cell>
          <cell r="C695">
            <v>2039</v>
          </cell>
        </row>
        <row r="696">
          <cell r="A696" t="str">
            <v>40075057</v>
          </cell>
          <cell r="B696" t="str">
            <v>DATA PROCESSING-MEDICAL REC</v>
          </cell>
          <cell r="C696">
            <v>3185.3</v>
          </cell>
        </row>
        <row r="697">
          <cell r="A697" t="str">
            <v>40075062</v>
          </cell>
          <cell r="B697" t="str">
            <v>DATA PROCESSING-QUALITY ASSURA</v>
          </cell>
          <cell r="C697">
            <v>71126.53</v>
          </cell>
        </row>
        <row r="698">
          <cell r="A698" t="str">
            <v>40075090</v>
          </cell>
          <cell r="B698" t="str">
            <v>DATA PROCESSING PAT ACCTG</v>
          </cell>
          <cell r="C698">
            <v>28286.6</v>
          </cell>
        </row>
        <row r="699">
          <cell r="A699" t="str">
            <v>40075092</v>
          </cell>
          <cell r="B699" t="str">
            <v>DATA PROCESSING-GENERAL ACCT</v>
          </cell>
          <cell r="C699">
            <v>21828</v>
          </cell>
        </row>
        <row r="700">
          <cell r="A700" t="str">
            <v>40076015</v>
          </cell>
          <cell r="B700" t="str">
            <v>MGT &amp; CONTRACT FEES - ENT</v>
          </cell>
          <cell r="C700">
            <v>22800</v>
          </cell>
        </row>
        <row r="701">
          <cell r="A701" t="str">
            <v>40076017</v>
          </cell>
          <cell r="B701" t="str">
            <v>MGT+ CONTRACTED SER-CVOSM</v>
          </cell>
          <cell r="C701">
            <v>67825</v>
          </cell>
        </row>
        <row r="702">
          <cell r="A702" t="str">
            <v>40076018</v>
          </cell>
          <cell r="B702" t="str">
            <v>MGMT &amp; CNTRCT SRV-WINDHAM</v>
          </cell>
          <cell r="C702">
            <v>41474.370000000003</v>
          </cell>
        </row>
        <row r="703">
          <cell r="A703" t="str">
            <v>40076021</v>
          </cell>
          <cell r="B703" t="str">
            <v>MAN + CONTRACTED SER - OR</v>
          </cell>
          <cell r="C703">
            <v>1936.35</v>
          </cell>
        </row>
        <row r="704">
          <cell r="A704" t="str">
            <v>40076023</v>
          </cell>
          <cell r="B704" t="str">
            <v>MAN + CONTRACTED SER-EMERG SVC</v>
          </cell>
          <cell r="C704">
            <v>3325167.82</v>
          </cell>
        </row>
        <row r="705">
          <cell r="A705" t="str">
            <v>40076037</v>
          </cell>
          <cell r="B705" t="str">
            <v>MGMT &amp; CONTRACT FEES-SURGICAL</v>
          </cell>
          <cell r="C705">
            <v>24000</v>
          </cell>
        </row>
        <row r="706">
          <cell r="A706" t="str">
            <v>40076040</v>
          </cell>
          <cell r="B706" t="str">
            <v>MGMT &amp; CNTRCT SRV-ULTRASOUND</v>
          </cell>
          <cell r="C706">
            <v>19250</v>
          </cell>
        </row>
        <row r="707">
          <cell r="A707" t="str">
            <v>40076041</v>
          </cell>
          <cell r="B707" t="str">
            <v>MAN &amp; CONTRACTED SEV-LAB-CLIN</v>
          </cell>
          <cell r="C707">
            <v>37990.79</v>
          </cell>
        </row>
        <row r="708">
          <cell r="A708" t="str">
            <v>40076044</v>
          </cell>
          <cell r="B708" t="str">
            <v>MAN + CONTRACTED SEV-RADIOLOGY</v>
          </cell>
          <cell r="C708">
            <v>401555.61</v>
          </cell>
        </row>
        <row r="709">
          <cell r="A709" t="str">
            <v>40076045</v>
          </cell>
          <cell r="B709" t="str">
            <v>MAN &amp; CONTRACTED SEV-CAT SCAN</v>
          </cell>
          <cell r="C709">
            <v>10083.35</v>
          </cell>
        </row>
        <row r="710">
          <cell r="A710" t="str">
            <v>40076046</v>
          </cell>
          <cell r="B710" t="str">
            <v>MAN + CONTRACTED SEV-NUC MED</v>
          </cell>
          <cell r="C710">
            <v>125</v>
          </cell>
        </row>
        <row r="711">
          <cell r="A711" t="str">
            <v>40076047</v>
          </cell>
          <cell r="B711" t="str">
            <v>MAN + CONTRACTED SEV-PHARMACY</v>
          </cell>
          <cell r="C711">
            <v>19521.96</v>
          </cell>
        </row>
        <row r="712">
          <cell r="A712" t="str">
            <v>40076050</v>
          </cell>
          <cell r="B712" t="str">
            <v>MAN + CONTRACTED SEV-RESP THPY</v>
          </cell>
          <cell r="C712">
            <v>3750</v>
          </cell>
        </row>
        <row r="713">
          <cell r="A713" t="str">
            <v>40076055</v>
          </cell>
          <cell r="B713" t="str">
            <v>MANAGEMENT &amp; CONTRACTED SERV</v>
          </cell>
          <cell r="C713">
            <v>3156</v>
          </cell>
        </row>
        <row r="714">
          <cell r="A714" t="str">
            <v>40076057</v>
          </cell>
          <cell r="B714" t="str">
            <v>MAN + CONTRACTED SER-MED REC</v>
          </cell>
          <cell r="C714">
            <v>440</v>
          </cell>
        </row>
        <row r="715">
          <cell r="A715" t="str">
            <v>40076058</v>
          </cell>
          <cell r="B715" t="str">
            <v>MAN &amp; CONTRACTED SER-ANES.</v>
          </cell>
          <cell r="C715">
            <v>32400</v>
          </cell>
        </row>
        <row r="716">
          <cell r="A716" t="str">
            <v>40076060</v>
          </cell>
          <cell r="B716" t="str">
            <v>MAN + CONTRACTED SEV-ADM &amp; GEN</v>
          </cell>
          <cell r="C716">
            <v>1963.8</v>
          </cell>
        </row>
        <row r="717">
          <cell r="A717" t="str">
            <v>40076061</v>
          </cell>
          <cell r="B717" t="str">
            <v>MAN + CONTRACTED SEV-PERSONNEL</v>
          </cell>
          <cell r="C717">
            <v>11341.76</v>
          </cell>
        </row>
        <row r="718">
          <cell r="A718" t="str">
            <v>40076073</v>
          </cell>
          <cell r="B718" t="str">
            <v>MGMNT/CONT SVCS - SPFLD ADULT</v>
          </cell>
          <cell r="C718">
            <v>950</v>
          </cell>
        </row>
        <row r="719">
          <cell r="A719" t="str">
            <v>40076080</v>
          </cell>
          <cell r="B719" t="str">
            <v>MAN + CONTRACTED SER-DIETARY</v>
          </cell>
          <cell r="C719">
            <v>1788.75</v>
          </cell>
        </row>
        <row r="720">
          <cell r="A720" t="str">
            <v>40076083</v>
          </cell>
          <cell r="B720" t="str">
            <v>MAN + CONTRACTED SER-PLANT MNT</v>
          </cell>
          <cell r="C720">
            <v>131884.03</v>
          </cell>
        </row>
        <row r="721">
          <cell r="A721" t="str">
            <v>40076090</v>
          </cell>
          <cell r="B721" t="str">
            <v>MAN + CONTRACTED SER-PAT ACCT</v>
          </cell>
          <cell r="C721">
            <v>5461.37</v>
          </cell>
        </row>
        <row r="722">
          <cell r="A722" t="str">
            <v>40076091</v>
          </cell>
          <cell r="B722" t="str">
            <v>MAN + CONTRACTED SEV-DATA PROC</v>
          </cell>
          <cell r="C722">
            <v>384359.61</v>
          </cell>
        </row>
        <row r="723">
          <cell r="A723" t="str">
            <v>40076092</v>
          </cell>
          <cell r="B723" t="str">
            <v>MAN + CONTRACTED SEV-GEN ACCT</v>
          </cell>
          <cell r="C723">
            <v>1250</v>
          </cell>
        </row>
        <row r="724">
          <cell r="A724" t="str">
            <v>40076096</v>
          </cell>
          <cell r="B724" t="str">
            <v>MGMT &amp; CNTRCT SVCS-HOSPITALIST</v>
          </cell>
          <cell r="C724">
            <v>42000</v>
          </cell>
        </row>
        <row r="725">
          <cell r="A725" t="str">
            <v>40077090</v>
          </cell>
          <cell r="B725" t="str">
            <v>COLLECTION AGENCY</v>
          </cell>
          <cell r="C725">
            <v>94377.22</v>
          </cell>
        </row>
        <row r="726">
          <cell r="A726" t="str">
            <v>40079008</v>
          </cell>
          <cell r="B726" t="str">
            <v>OTHER PURCH SVCS-PAT CARE SVCS</v>
          </cell>
          <cell r="C726">
            <v>150</v>
          </cell>
        </row>
        <row r="727">
          <cell r="A727" t="str">
            <v>40079009</v>
          </cell>
          <cell r="B727" t="str">
            <v>OTHER PURCHASED SERV-MSU</v>
          </cell>
          <cell r="C727">
            <v>21208.36</v>
          </cell>
        </row>
        <row r="728">
          <cell r="A728" t="str">
            <v>40079013</v>
          </cell>
          <cell r="B728" t="str">
            <v>OTHER PURCHASED SERV-CHILDBIRT</v>
          </cell>
          <cell r="C728">
            <v>22922.5</v>
          </cell>
        </row>
        <row r="729">
          <cell r="A729" t="str">
            <v>40079015</v>
          </cell>
          <cell r="B729" t="str">
            <v>OTHER PURCHASED SERV - ENT</v>
          </cell>
          <cell r="C729">
            <v>24281.57</v>
          </cell>
        </row>
        <row r="730">
          <cell r="A730" t="str">
            <v>40079017</v>
          </cell>
          <cell r="B730" t="str">
            <v>OTHER PURCHASED SERV-CVOSM</v>
          </cell>
          <cell r="C730">
            <v>29896.47</v>
          </cell>
        </row>
        <row r="731">
          <cell r="A731" t="str">
            <v>40079018</v>
          </cell>
          <cell r="B731" t="str">
            <v>OTHER PURCH SERV-RMH-PSYCH</v>
          </cell>
          <cell r="C731">
            <v>8024.69</v>
          </cell>
        </row>
        <row r="732">
          <cell r="A732" t="str">
            <v>40079020</v>
          </cell>
          <cell r="B732" t="str">
            <v>OTHER PURCHASED SERV. - MAMMO</v>
          </cell>
          <cell r="C732">
            <v>26431.96</v>
          </cell>
        </row>
        <row r="733">
          <cell r="A733" t="str">
            <v>40079021</v>
          </cell>
          <cell r="B733" t="str">
            <v>OTHER PURCHASED SERV - OR</v>
          </cell>
          <cell r="C733">
            <v>24305.49</v>
          </cell>
        </row>
        <row r="734">
          <cell r="A734" t="str">
            <v>40079023</v>
          </cell>
          <cell r="B734" t="str">
            <v>OTHER PURCHASED SVC-EMERG.SVC.</v>
          </cell>
          <cell r="C734">
            <v>3692.5</v>
          </cell>
        </row>
        <row r="735">
          <cell r="A735" t="str">
            <v>40079029</v>
          </cell>
          <cell r="B735" t="str">
            <v>OTHER PURCH. SERV-SP SERVICES</v>
          </cell>
          <cell r="C735">
            <v>88</v>
          </cell>
        </row>
        <row r="736">
          <cell r="A736" t="str">
            <v>40079036</v>
          </cell>
          <cell r="B736" t="str">
            <v>OTHER PURCHASED - MRI</v>
          </cell>
          <cell r="C736">
            <v>445146.62</v>
          </cell>
        </row>
        <row r="737">
          <cell r="A737" t="str">
            <v>40079037</v>
          </cell>
          <cell r="B737" t="str">
            <v>OTHER PURCH SVCS-SURGICAL</v>
          </cell>
          <cell r="C737">
            <v>11565.94</v>
          </cell>
        </row>
        <row r="738">
          <cell r="A738" t="str">
            <v>40079039</v>
          </cell>
          <cell r="B738" t="str">
            <v>OTHER PURCHASED SVCS-SECURITY</v>
          </cell>
          <cell r="C738">
            <v>159891.85</v>
          </cell>
        </row>
        <row r="739">
          <cell r="A739" t="str">
            <v>40079040</v>
          </cell>
          <cell r="B739" t="str">
            <v>OTHER PURCHASED SERV-ULTRASND</v>
          </cell>
          <cell r="C739">
            <v>235560</v>
          </cell>
        </row>
        <row r="740">
          <cell r="A740" t="str">
            <v>40079041</v>
          </cell>
          <cell r="B740" t="str">
            <v>OTHER PURCHASED SERV-LAB-CLIN</v>
          </cell>
          <cell r="C740">
            <v>788821.86</v>
          </cell>
        </row>
        <row r="741">
          <cell r="A741" t="str">
            <v>40079043</v>
          </cell>
          <cell r="B741" t="str">
            <v>OTHER PURCHASED SERV/ELECTROCA</v>
          </cell>
          <cell r="C741">
            <v>843</v>
          </cell>
        </row>
        <row r="742">
          <cell r="A742" t="str">
            <v>40079044</v>
          </cell>
          <cell r="B742" t="str">
            <v>OTHER PURCHASED SERV-RADIOLOGY</v>
          </cell>
          <cell r="C742">
            <v>15340.15</v>
          </cell>
        </row>
        <row r="743">
          <cell r="A743" t="str">
            <v>40079045</v>
          </cell>
          <cell r="B743" t="str">
            <v>OTHER PURCHASED SERV-CAT SCAN</v>
          </cell>
          <cell r="C743">
            <v>106143.12</v>
          </cell>
        </row>
        <row r="744">
          <cell r="A744" t="str">
            <v>40079046</v>
          </cell>
          <cell r="B744" t="str">
            <v>OTHER PURCHASED SERV-NUC MED</v>
          </cell>
          <cell r="C744">
            <v>1666.66</v>
          </cell>
        </row>
        <row r="745">
          <cell r="A745" t="str">
            <v>40079047</v>
          </cell>
          <cell r="B745" t="str">
            <v>OTHER PURCHASED SERV-PHARMACY</v>
          </cell>
          <cell r="C745">
            <v>165346.82999999999</v>
          </cell>
        </row>
        <row r="746">
          <cell r="A746" t="str">
            <v>40079049</v>
          </cell>
          <cell r="B746" t="str">
            <v>OTHER PURCHASED SERV-PHY THPY</v>
          </cell>
          <cell r="C746">
            <v>78616.460000000006</v>
          </cell>
        </row>
        <row r="747">
          <cell r="A747" t="str">
            <v>40079050</v>
          </cell>
          <cell r="B747" t="str">
            <v>OTHER PURCHASED SERV-RESP THPY</v>
          </cell>
          <cell r="C747">
            <v>15840</v>
          </cell>
        </row>
        <row r="748">
          <cell r="A748" t="str">
            <v>40079055</v>
          </cell>
          <cell r="B748" t="str">
            <v>PURCHASED SERVICE</v>
          </cell>
          <cell r="C748">
            <v>7603.25</v>
          </cell>
        </row>
        <row r="749">
          <cell r="A749" t="str">
            <v>40079057</v>
          </cell>
          <cell r="B749" t="str">
            <v>OTHER PURCHASED SERV-MED REC</v>
          </cell>
          <cell r="C749">
            <v>153950.41</v>
          </cell>
        </row>
        <row r="750">
          <cell r="A750" t="str">
            <v>40079060</v>
          </cell>
          <cell r="B750" t="str">
            <v>OTHER PURCHASED SERV-ADM &amp; GEN</v>
          </cell>
          <cell r="C750">
            <v>3750</v>
          </cell>
        </row>
        <row r="751">
          <cell r="A751" t="str">
            <v>40079062</v>
          </cell>
          <cell r="B751" t="str">
            <v>OTHER PURCHASED SERV-QUALITY A</v>
          </cell>
          <cell r="C751">
            <v>34432.25</v>
          </cell>
        </row>
        <row r="752">
          <cell r="A752" t="str">
            <v>40079069</v>
          </cell>
          <cell r="B752" t="str">
            <v>OTHER PURCHASED SERV - GOVN BD</v>
          </cell>
          <cell r="C752">
            <v>150</v>
          </cell>
        </row>
        <row r="753">
          <cell r="A753" t="str">
            <v>40079073</v>
          </cell>
          <cell r="B753" t="str">
            <v>OTHER PURCHASED SVCS - SPFLD A</v>
          </cell>
          <cell r="C753">
            <v>38406.69</v>
          </cell>
        </row>
        <row r="754">
          <cell r="A754" t="str">
            <v>40079083</v>
          </cell>
          <cell r="B754" t="str">
            <v>OTHER PURCHASED SERV-PLANT MNT</v>
          </cell>
          <cell r="C754">
            <v>302579.08</v>
          </cell>
        </row>
        <row r="755">
          <cell r="A755" t="str">
            <v>40079084</v>
          </cell>
          <cell r="B755" t="str">
            <v>OTHER PURCH SRV-RMH-P.T.</v>
          </cell>
          <cell r="C755">
            <v>288.48</v>
          </cell>
        </row>
        <row r="756">
          <cell r="A756" t="str">
            <v>40079085</v>
          </cell>
          <cell r="B756" t="str">
            <v>OTHER PURCHASED SERV-HSKP SERV</v>
          </cell>
          <cell r="C756">
            <v>8963.61</v>
          </cell>
        </row>
        <row r="757">
          <cell r="A757" t="str">
            <v>40079086</v>
          </cell>
          <cell r="B757" t="str">
            <v>OTHER PURCHASED SERV-LAUND/LIN</v>
          </cell>
          <cell r="C757">
            <v>126.57</v>
          </cell>
        </row>
        <row r="758">
          <cell r="A758" t="str">
            <v>40079090</v>
          </cell>
          <cell r="B758" t="str">
            <v>OTHER PURCHASED SERV-PAT ACCT</v>
          </cell>
          <cell r="C758">
            <v>177055.95</v>
          </cell>
        </row>
        <row r="759">
          <cell r="A759" t="str">
            <v>40079091</v>
          </cell>
          <cell r="B759" t="str">
            <v>OTHER PURCHASED SERV-DATA PROC</v>
          </cell>
          <cell r="C759">
            <v>750</v>
          </cell>
        </row>
        <row r="760">
          <cell r="A760" t="str">
            <v>40079095</v>
          </cell>
          <cell r="B760" t="str">
            <v>OTHER PURCHASED SER-CORP COMPL</v>
          </cell>
          <cell r="C760">
            <v>9742.06</v>
          </cell>
        </row>
        <row r="761">
          <cell r="A761" t="str">
            <v>40080080</v>
          </cell>
          <cell r="B761" t="str">
            <v>INTRACOMPANY CHARGES</v>
          </cell>
          <cell r="C761">
            <v>-65258.15</v>
          </cell>
        </row>
        <row r="762">
          <cell r="A762" t="str">
            <v>40081015</v>
          </cell>
          <cell r="B762" t="str">
            <v>INSURANCE EXP. - ENT</v>
          </cell>
          <cell r="C762">
            <v>15876</v>
          </cell>
        </row>
        <row r="763">
          <cell r="A763" t="str">
            <v>40081017</v>
          </cell>
          <cell r="B763" t="str">
            <v>INSURANCE</v>
          </cell>
          <cell r="C763">
            <v>53841.96</v>
          </cell>
        </row>
        <row r="764">
          <cell r="A764" t="str">
            <v>40081031</v>
          </cell>
          <cell r="B764" t="str">
            <v>INSURANCE-PROPERTY</v>
          </cell>
          <cell r="C764">
            <v>42672</v>
          </cell>
        </row>
        <row r="765">
          <cell r="A765" t="str">
            <v>40081032</v>
          </cell>
          <cell r="B765" t="str">
            <v>INSURANCE-GENERAL LIABILITY</v>
          </cell>
          <cell r="C765">
            <v>19122</v>
          </cell>
        </row>
        <row r="766">
          <cell r="A766" t="str">
            <v>40081033</v>
          </cell>
          <cell r="B766" t="str">
            <v>INSURANCE-MALPRACTICE</v>
          </cell>
          <cell r="C766">
            <v>355308</v>
          </cell>
        </row>
        <row r="767">
          <cell r="A767" t="str">
            <v>40081037</v>
          </cell>
          <cell r="B767" t="str">
            <v>INSURANCE EXPENSE</v>
          </cell>
          <cell r="C767">
            <v>70738</v>
          </cell>
        </row>
        <row r="768">
          <cell r="A768" t="str">
            <v>40081060</v>
          </cell>
          <cell r="B768" t="str">
            <v>INSURANCE EXP-ADMIN</v>
          </cell>
          <cell r="C768">
            <v>14696</v>
          </cell>
        </row>
        <row r="769">
          <cell r="A769" t="str">
            <v>40082071</v>
          </cell>
          <cell r="B769" t="str">
            <v>INTEREST EXPENSE - GENERAL</v>
          </cell>
          <cell r="C769">
            <v>319192.27</v>
          </cell>
        </row>
        <row r="770">
          <cell r="A770" t="str">
            <v>40083009</v>
          </cell>
          <cell r="B770" t="str">
            <v>LICENSE &amp;TAXES-MSU</v>
          </cell>
          <cell r="C770">
            <v>-1143.19</v>
          </cell>
        </row>
        <row r="771">
          <cell r="A771" t="str">
            <v>40083013</v>
          </cell>
          <cell r="B771" t="str">
            <v>LICENSE &amp; TAX-CBC</v>
          </cell>
          <cell r="C771">
            <v>43.48</v>
          </cell>
        </row>
        <row r="772">
          <cell r="A772" t="str">
            <v>40083015</v>
          </cell>
          <cell r="B772" t="str">
            <v>LIC &amp; TAXES - ENT</v>
          </cell>
          <cell r="C772">
            <v>350</v>
          </cell>
        </row>
        <row r="773">
          <cell r="A773" t="str">
            <v>40083017</v>
          </cell>
          <cell r="B773" t="str">
            <v>LICENSES</v>
          </cell>
          <cell r="C773">
            <v>527.72</v>
          </cell>
        </row>
        <row r="774">
          <cell r="A774" t="str">
            <v>40083018</v>
          </cell>
          <cell r="B774" t="str">
            <v>LICSENCE &amp; TAX-WINDHAM</v>
          </cell>
          <cell r="C774">
            <v>85.89</v>
          </cell>
        </row>
        <row r="775">
          <cell r="A775" t="str">
            <v>40083020</v>
          </cell>
          <cell r="B775" t="str">
            <v>LICENSE &amp; TAXES - MAMMO</v>
          </cell>
          <cell r="C775">
            <v>3487.48</v>
          </cell>
        </row>
        <row r="776">
          <cell r="A776" t="str">
            <v>40083021</v>
          </cell>
          <cell r="B776" t="str">
            <v>LICENSE &amp; TAX-OR</v>
          </cell>
          <cell r="C776">
            <v>43.49</v>
          </cell>
        </row>
        <row r="777">
          <cell r="A777" t="str">
            <v>40083022</v>
          </cell>
          <cell r="B777" t="str">
            <v>LICENSE &amp; TAX-RECOVERY</v>
          </cell>
          <cell r="C777">
            <v>36.1</v>
          </cell>
        </row>
        <row r="778">
          <cell r="A778" t="str">
            <v>40083023</v>
          </cell>
          <cell r="B778" t="str">
            <v>LICENSE &amp; TAX - ER</v>
          </cell>
          <cell r="C778">
            <v>101.11</v>
          </cell>
        </row>
        <row r="779">
          <cell r="A779" t="str">
            <v>40083024</v>
          </cell>
          <cell r="B779" t="str">
            <v>LICENSE/TAX-ACU</v>
          </cell>
          <cell r="C779">
            <v>30.49</v>
          </cell>
        </row>
        <row r="780">
          <cell r="A780" t="str">
            <v>40083028</v>
          </cell>
          <cell r="B780" t="str">
            <v>LICENSE &amp; TAX-ENDO</v>
          </cell>
          <cell r="C780">
            <v>1317.26</v>
          </cell>
        </row>
        <row r="781">
          <cell r="A781" t="str">
            <v>40083029</v>
          </cell>
          <cell r="B781" t="str">
            <v>LICENSE/TAX-CLINIC</v>
          </cell>
          <cell r="C781">
            <v>30.49</v>
          </cell>
        </row>
        <row r="782">
          <cell r="A782" t="str">
            <v>40083037</v>
          </cell>
          <cell r="B782" t="str">
            <v>LICENSE FEES</v>
          </cell>
          <cell r="C782">
            <v>2637</v>
          </cell>
        </row>
        <row r="783">
          <cell r="A783" t="str">
            <v>40083041</v>
          </cell>
          <cell r="B783" t="str">
            <v>LICENSE &amp; TAXES</v>
          </cell>
          <cell r="C783">
            <v>2913</v>
          </cell>
        </row>
        <row r="784">
          <cell r="A784" t="str">
            <v>40083046</v>
          </cell>
          <cell r="B784" t="str">
            <v>LIC, FEES-NUCLEAR MED</v>
          </cell>
          <cell r="C784">
            <v>10475.040000000001</v>
          </cell>
        </row>
        <row r="785">
          <cell r="A785" t="str">
            <v>40083047</v>
          </cell>
          <cell r="B785" t="str">
            <v>LICENSE &amp; TAX - PHARMACY</v>
          </cell>
          <cell r="C785">
            <v>654</v>
          </cell>
        </row>
        <row r="786">
          <cell r="A786" t="str">
            <v>40083057</v>
          </cell>
          <cell r="B786" t="str">
            <v>LICENSE/HEALTH INFO SERV</v>
          </cell>
          <cell r="C786">
            <v>1533.79</v>
          </cell>
        </row>
        <row r="787">
          <cell r="A787" t="str">
            <v>40083060</v>
          </cell>
          <cell r="B787" t="str">
            <v>LIC &amp; TAXES NON INC-ADM &amp; GEN</v>
          </cell>
          <cell r="C787">
            <v>3600.21</v>
          </cell>
        </row>
        <row r="788">
          <cell r="A788" t="str">
            <v>40083083</v>
          </cell>
          <cell r="B788" t="str">
            <v>LIC. + TAXES NON INC-PLANT MNT</v>
          </cell>
          <cell r="C788">
            <v>1107.5999999999999</v>
          </cell>
        </row>
        <row r="789">
          <cell r="A789" t="str">
            <v>40083091</v>
          </cell>
          <cell r="B789" t="str">
            <v>License  Taxes</v>
          </cell>
          <cell r="C789">
            <v>1478.51</v>
          </cell>
        </row>
        <row r="790">
          <cell r="A790" t="str">
            <v>40084008</v>
          </cell>
          <cell r="B790" t="str">
            <v>DUES,BOOKS &amp; SUBS-PAT CARE SVC</v>
          </cell>
          <cell r="C790">
            <v>1938.91</v>
          </cell>
        </row>
        <row r="791">
          <cell r="A791" t="str">
            <v>40084009</v>
          </cell>
          <cell r="B791" t="str">
            <v>DUES/BOOKS + SUBS-MSU</v>
          </cell>
          <cell r="C791">
            <v>490.1</v>
          </cell>
        </row>
        <row r="792">
          <cell r="A792" t="str">
            <v>40084013</v>
          </cell>
          <cell r="B792" t="str">
            <v>DUES/BOOKS + SUBS - CHILDBIRTH</v>
          </cell>
          <cell r="C792">
            <v>5822.61</v>
          </cell>
        </row>
        <row r="793">
          <cell r="A793" t="str">
            <v>40084015</v>
          </cell>
          <cell r="B793" t="str">
            <v>DUES/BOOKS &amp; SUBS - ENT</v>
          </cell>
          <cell r="C793">
            <v>2010</v>
          </cell>
        </row>
        <row r="794">
          <cell r="A794" t="str">
            <v>40084017</v>
          </cell>
          <cell r="B794" t="str">
            <v>DUES/BOOKS &amp; SUBS-CVOSM</v>
          </cell>
          <cell r="C794">
            <v>14549.49</v>
          </cell>
        </row>
        <row r="795">
          <cell r="A795" t="str">
            <v>40084018</v>
          </cell>
          <cell r="B795" t="str">
            <v>DUES/BOOKS/SUBS- WINDHAM</v>
          </cell>
          <cell r="C795">
            <v>1621.7</v>
          </cell>
        </row>
        <row r="796">
          <cell r="A796" t="str">
            <v>40084019</v>
          </cell>
          <cell r="B796" t="str">
            <v>DUES/BOOKS &amp; SUBS-PULM REHAB</v>
          </cell>
          <cell r="C796">
            <v>420.83</v>
          </cell>
        </row>
        <row r="797">
          <cell r="A797" t="str">
            <v>40084020</v>
          </cell>
          <cell r="B797" t="str">
            <v>DUES &amp; BOOKS - MAMMO</v>
          </cell>
          <cell r="C797">
            <v>250</v>
          </cell>
        </row>
        <row r="798">
          <cell r="A798" t="str">
            <v>40084021</v>
          </cell>
          <cell r="B798" t="str">
            <v>DUES/BOOKS + SUBS - OR</v>
          </cell>
          <cell r="C798">
            <v>497.48</v>
          </cell>
        </row>
        <row r="799">
          <cell r="A799" t="str">
            <v>40084022</v>
          </cell>
          <cell r="B799" t="str">
            <v>DUES/BOOKS &amp; SUBS-RECOVERY</v>
          </cell>
          <cell r="C799">
            <v>47.81</v>
          </cell>
        </row>
        <row r="800">
          <cell r="A800" t="str">
            <v>40084023</v>
          </cell>
          <cell r="B800" t="str">
            <v>DUES/BOOKS + SUBS-EMERG. SVCS.</v>
          </cell>
          <cell r="C800">
            <v>2857.4</v>
          </cell>
        </row>
        <row r="801">
          <cell r="A801" t="str">
            <v>40084028</v>
          </cell>
          <cell r="B801" t="str">
            <v>DUES/BOOKS&amp; SUBS-SPEC. PROC.</v>
          </cell>
          <cell r="C801">
            <v>112</v>
          </cell>
        </row>
        <row r="802">
          <cell r="A802" t="str">
            <v>40084029</v>
          </cell>
          <cell r="B802" t="str">
            <v>DUES/BOOKS &amp; SUBS-SP SERVICES</v>
          </cell>
          <cell r="C802">
            <v>162.74</v>
          </cell>
        </row>
        <row r="803">
          <cell r="A803" t="str">
            <v>40084036</v>
          </cell>
          <cell r="B803" t="str">
            <v>DUES/BOOKS &amp; SUBS - MRI</v>
          </cell>
          <cell r="C803">
            <v>218.45</v>
          </cell>
        </row>
        <row r="804">
          <cell r="A804" t="str">
            <v>40084037</v>
          </cell>
          <cell r="B804" t="str">
            <v>DUES,BOOKS,SUBS-SURGICAL</v>
          </cell>
          <cell r="C804">
            <v>1370.77</v>
          </cell>
        </row>
        <row r="805">
          <cell r="A805" t="str">
            <v>40084040</v>
          </cell>
          <cell r="B805" t="str">
            <v>DUES/BOOKS/SUBSCRPTN-ULTRASOUN</v>
          </cell>
          <cell r="C805">
            <v>1220</v>
          </cell>
        </row>
        <row r="806">
          <cell r="A806" t="str">
            <v>40084041</v>
          </cell>
          <cell r="B806" t="str">
            <v>DUES/BOOKS &amp; SUBS-LAB-CLIN</v>
          </cell>
          <cell r="C806">
            <v>1200.06</v>
          </cell>
        </row>
        <row r="807">
          <cell r="A807" t="str">
            <v>40084044</v>
          </cell>
          <cell r="B807" t="str">
            <v>DUES/BOOKS + SUBS-RADIOLOGY</v>
          </cell>
          <cell r="C807">
            <v>1834.91</v>
          </cell>
        </row>
        <row r="808">
          <cell r="A808" t="str">
            <v>40084045</v>
          </cell>
          <cell r="B808" t="str">
            <v>DUES/BOOKS &amp; SUBS-CAT SCAN</v>
          </cell>
          <cell r="C808">
            <v>930</v>
          </cell>
        </row>
        <row r="809">
          <cell r="A809" t="str">
            <v>40084046</v>
          </cell>
          <cell r="B809" t="str">
            <v>DUES/BOOKS + SUBS-NUCLEAR MED</v>
          </cell>
          <cell r="C809">
            <v>116</v>
          </cell>
        </row>
        <row r="810">
          <cell r="A810" t="str">
            <v>40084047</v>
          </cell>
          <cell r="B810" t="str">
            <v>DUES/BOOKS + SUBS-PHARMACY</v>
          </cell>
          <cell r="C810">
            <v>1520.48</v>
          </cell>
        </row>
        <row r="811">
          <cell r="A811" t="str">
            <v>40084048</v>
          </cell>
          <cell r="B811" t="str">
            <v>DUES/BOOKS + SUBS-ANESTH</v>
          </cell>
          <cell r="C811">
            <v>8190.39</v>
          </cell>
        </row>
        <row r="812">
          <cell r="A812" t="str">
            <v>40084049</v>
          </cell>
          <cell r="B812" t="str">
            <v>DUES/BOOKS + SUBS-PHY THERAPY</v>
          </cell>
          <cell r="C812">
            <v>662.9</v>
          </cell>
        </row>
        <row r="813">
          <cell r="A813" t="str">
            <v>40084050</v>
          </cell>
          <cell r="B813" t="str">
            <v>DUES/BOOKS + SUBS-RESP THPY</v>
          </cell>
          <cell r="C813">
            <v>410</v>
          </cell>
        </row>
        <row r="814">
          <cell r="A814" t="str">
            <v>40084055</v>
          </cell>
          <cell r="B814" t="str">
            <v>DUES,BOOKS &amp; SUBS</v>
          </cell>
          <cell r="C814">
            <v>1928.15</v>
          </cell>
        </row>
        <row r="815">
          <cell r="A815" t="str">
            <v>40084056</v>
          </cell>
          <cell r="B815" t="str">
            <v>DUES/BOOKS + SUBS-MED LIBRARY</v>
          </cell>
          <cell r="C815">
            <v>26096.68</v>
          </cell>
        </row>
        <row r="816">
          <cell r="A816" t="str">
            <v>40084060</v>
          </cell>
          <cell r="B816" t="str">
            <v>DUES/BOOKS + SUBS-ADM AND GEN</v>
          </cell>
          <cell r="C816">
            <v>152934.62</v>
          </cell>
        </row>
        <row r="817">
          <cell r="A817" t="str">
            <v>40084061</v>
          </cell>
          <cell r="B817" t="str">
            <v>DUES/BOOKS + SUBS-PERSONNEL</v>
          </cell>
          <cell r="C817">
            <v>2503.42</v>
          </cell>
        </row>
        <row r="818">
          <cell r="A818" t="str">
            <v>40084062</v>
          </cell>
          <cell r="B818" t="str">
            <v>DUES/BOOKS &amp; SUBS-QUALITY ASR</v>
          </cell>
          <cell r="C818">
            <v>822.5</v>
          </cell>
        </row>
        <row r="819">
          <cell r="A819" t="str">
            <v>40084064</v>
          </cell>
          <cell r="B819" t="str">
            <v>DUES/BOOKS + SUBS-PUR &amp; STORES</v>
          </cell>
          <cell r="C819">
            <v>204</v>
          </cell>
        </row>
        <row r="820">
          <cell r="A820" t="str">
            <v>40084065</v>
          </cell>
          <cell r="B820" t="str">
            <v>DUES/BOOKS + SUBS-PUB REL</v>
          </cell>
          <cell r="C820">
            <v>259</v>
          </cell>
        </row>
        <row r="821">
          <cell r="A821" t="str">
            <v>40084073</v>
          </cell>
          <cell r="B821" t="str">
            <v>DUES/BOOKS-SPFLD DAYCARE</v>
          </cell>
          <cell r="C821">
            <v>2487.13</v>
          </cell>
        </row>
        <row r="822">
          <cell r="A822" t="str">
            <v>40084076</v>
          </cell>
          <cell r="B822" t="str">
            <v>DUES/BOOKS + SUBS-ED/HOSP WIDE</v>
          </cell>
          <cell r="C822">
            <v>7967.98</v>
          </cell>
        </row>
        <row r="823">
          <cell r="A823" t="str">
            <v>40084080</v>
          </cell>
          <cell r="B823" t="str">
            <v>DUES/BOOKS + SUBS-DIETARY SER</v>
          </cell>
          <cell r="C823">
            <v>942</v>
          </cell>
        </row>
        <row r="824">
          <cell r="A824" t="str">
            <v>40084083</v>
          </cell>
          <cell r="B824" t="str">
            <v>DUES/BOOKS + SUBS-PLANT MAINT</v>
          </cell>
          <cell r="C824">
            <v>165</v>
          </cell>
        </row>
        <row r="825">
          <cell r="A825" t="str">
            <v>40084084</v>
          </cell>
          <cell r="B825" t="str">
            <v>DUES/BOOKS-RMH-P.T.</v>
          </cell>
          <cell r="C825">
            <v>200</v>
          </cell>
        </row>
        <row r="826">
          <cell r="A826" t="str">
            <v>40084090</v>
          </cell>
          <cell r="B826" t="str">
            <v>DUES/BOOKS + SUBS-PATIENT ACCT</v>
          </cell>
          <cell r="C826">
            <v>239.9</v>
          </cell>
        </row>
        <row r="827">
          <cell r="A827" t="str">
            <v>40084091</v>
          </cell>
          <cell r="B827" t="str">
            <v>DUES/BOOKS + SUBS-DATA PROCESS</v>
          </cell>
          <cell r="C827">
            <v>5704.39</v>
          </cell>
        </row>
        <row r="828">
          <cell r="A828" t="str">
            <v>40084092</v>
          </cell>
          <cell r="B828" t="str">
            <v>DUES/BOOKS + SUBS-GEN ACCT</v>
          </cell>
          <cell r="C828">
            <v>3437.14</v>
          </cell>
        </row>
        <row r="829">
          <cell r="A829" t="str">
            <v>40084096</v>
          </cell>
          <cell r="B829" t="str">
            <v>DUES,BOOKS,SUBSRIPTIONS</v>
          </cell>
          <cell r="C829">
            <v>1937.99</v>
          </cell>
        </row>
        <row r="830">
          <cell r="A830" t="str">
            <v>40084097</v>
          </cell>
          <cell r="B830" t="str">
            <v>DUES/BOOKS + SUBS-AUXILIARY</v>
          </cell>
          <cell r="C830">
            <v>781.02</v>
          </cell>
        </row>
        <row r="831">
          <cell r="A831" t="str">
            <v>40084098</v>
          </cell>
          <cell r="B831" t="str">
            <v>DUES/BOOKS + SUBS-MED STAFF</v>
          </cell>
          <cell r="C831">
            <v>1250</v>
          </cell>
        </row>
        <row r="832">
          <cell r="A832" t="str">
            <v>40085009</v>
          </cell>
          <cell r="B832" t="str">
            <v>OUTSIDE TRAINING -MED/SURG</v>
          </cell>
          <cell r="C832">
            <v>12112.47</v>
          </cell>
        </row>
        <row r="833">
          <cell r="A833" t="str">
            <v>40085013</v>
          </cell>
          <cell r="B833" t="str">
            <v>OUTSIDE TRAINING-CHILDBIRTH</v>
          </cell>
          <cell r="C833">
            <v>6872.5</v>
          </cell>
        </row>
        <row r="834">
          <cell r="A834" t="str">
            <v>40085017</v>
          </cell>
          <cell r="B834" t="str">
            <v>OUTSIDE TRAINING-CVOSM</v>
          </cell>
          <cell r="C834">
            <v>7108.35</v>
          </cell>
        </row>
        <row r="835">
          <cell r="A835" t="str">
            <v>40085018</v>
          </cell>
          <cell r="B835" t="str">
            <v>OUTSIDE TRAINING - WINDHAM</v>
          </cell>
          <cell r="C835">
            <v>2318.4899999999998</v>
          </cell>
        </row>
        <row r="836">
          <cell r="A836" t="str">
            <v>40085019</v>
          </cell>
          <cell r="B836" t="str">
            <v>OUTSIDE TRAINING-PULM REHAB</v>
          </cell>
          <cell r="C836">
            <v>1314</v>
          </cell>
        </row>
        <row r="837">
          <cell r="A837" t="str">
            <v>40085020</v>
          </cell>
          <cell r="B837" t="str">
            <v>OUTSIDE TRAINING - MAMMO</v>
          </cell>
          <cell r="C837">
            <v>2408.06</v>
          </cell>
        </row>
        <row r="838">
          <cell r="A838" t="str">
            <v>40085021</v>
          </cell>
          <cell r="B838" t="str">
            <v>OUTSIDE TRAIN SES - OR</v>
          </cell>
          <cell r="C838">
            <v>1082.78</v>
          </cell>
        </row>
        <row r="839">
          <cell r="A839" t="str">
            <v>40085023</v>
          </cell>
          <cell r="B839" t="str">
            <v>OUTSIDE TRAIN SES-EMERG. SVCS.</v>
          </cell>
          <cell r="C839">
            <v>7479.1</v>
          </cell>
        </row>
        <row r="840">
          <cell r="A840" t="str">
            <v>40085024</v>
          </cell>
          <cell r="B840" t="str">
            <v>OUTSIDE TRAIN SES-1DAY SURGERY</v>
          </cell>
          <cell r="C840">
            <v>560</v>
          </cell>
        </row>
        <row r="841">
          <cell r="A841" t="str">
            <v>40085028</v>
          </cell>
          <cell r="B841" t="str">
            <v>OUTSIDE TRAINING-SPEC. PROC.</v>
          </cell>
          <cell r="C841">
            <v>790</v>
          </cell>
        </row>
        <row r="842">
          <cell r="A842" t="str">
            <v>40085029</v>
          </cell>
          <cell r="B842" t="str">
            <v>OUTSIDE TRAINING-SPEC.SERVICES</v>
          </cell>
          <cell r="C842">
            <v>1191.3599999999999</v>
          </cell>
        </row>
        <row r="843">
          <cell r="A843" t="str">
            <v>40085037</v>
          </cell>
          <cell r="B843" t="str">
            <v>OUTSIDE TRAINING-SURGICAL</v>
          </cell>
          <cell r="C843">
            <v>3473.6</v>
          </cell>
        </row>
        <row r="844">
          <cell r="A844" t="str">
            <v>40085040</v>
          </cell>
          <cell r="B844" t="str">
            <v>OUTSIDE TRAIN SES-ULTRASOUND</v>
          </cell>
          <cell r="C844">
            <v>1042</v>
          </cell>
        </row>
        <row r="845">
          <cell r="A845" t="str">
            <v>40085041</v>
          </cell>
          <cell r="B845" t="str">
            <v>OUTSIDE TRAIN SES-LAB-CLIN</v>
          </cell>
          <cell r="C845">
            <v>7071.45</v>
          </cell>
        </row>
        <row r="846">
          <cell r="A846" t="str">
            <v>40085044</v>
          </cell>
          <cell r="B846" t="str">
            <v>OUTSIDE TRAIN SES-RADIOLOGY</v>
          </cell>
          <cell r="C846">
            <v>15164.3</v>
          </cell>
        </row>
        <row r="847">
          <cell r="A847" t="str">
            <v>40085047</v>
          </cell>
          <cell r="B847" t="str">
            <v>OUTSIDE TRAIN SES-PHARMACY</v>
          </cell>
          <cell r="C847">
            <v>139</v>
          </cell>
        </row>
        <row r="848">
          <cell r="A848" t="str">
            <v>40085048</v>
          </cell>
          <cell r="B848" t="str">
            <v>OUTSIDE TRAIN SES-ANESTH</v>
          </cell>
          <cell r="C848">
            <v>6693.13</v>
          </cell>
        </row>
        <row r="849">
          <cell r="A849" t="str">
            <v>40085049</v>
          </cell>
          <cell r="B849" t="str">
            <v>OUTSIDE TRAIN SES-PHY THPY</v>
          </cell>
          <cell r="C849">
            <v>1490.97</v>
          </cell>
        </row>
        <row r="850">
          <cell r="A850" t="str">
            <v>40085050</v>
          </cell>
          <cell r="B850" t="str">
            <v>OUTSIDE TRAIN SES-RESP THPY</v>
          </cell>
          <cell r="C850">
            <v>610</v>
          </cell>
        </row>
        <row r="851">
          <cell r="A851" t="str">
            <v>40085055</v>
          </cell>
          <cell r="B851" t="str">
            <v>OUTSIDE TRAINING</v>
          </cell>
          <cell r="C851">
            <v>1128</v>
          </cell>
        </row>
        <row r="852">
          <cell r="A852" t="str">
            <v>40085057</v>
          </cell>
          <cell r="B852" t="str">
            <v>OUTSIDE TRAIN SES-MEDICAL REC</v>
          </cell>
          <cell r="C852">
            <v>455.68</v>
          </cell>
        </row>
        <row r="853">
          <cell r="A853" t="str">
            <v>40085058</v>
          </cell>
          <cell r="B853" t="str">
            <v>OUTSIDE TRAIN SES-ANES. PHYS.</v>
          </cell>
          <cell r="C853">
            <v>2884.58</v>
          </cell>
        </row>
        <row r="854">
          <cell r="A854" t="str">
            <v>40085062</v>
          </cell>
          <cell r="B854" t="str">
            <v>OUTSIDE TRAIN SES-QUALITY ASSR</v>
          </cell>
          <cell r="C854">
            <v>110</v>
          </cell>
        </row>
        <row r="855">
          <cell r="A855" t="str">
            <v>40085073</v>
          </cell>
          <cell r="B855" t="str">
            <v>OUTSIDE TRAINING-SPFLD DAYCARE</v>
          </cell>
          <cell r="C855">
            <v>287.83999999999997</v>
          </cell>
        </row>
        <row r="856">
          <cell r="A856" t="str">
            <v>40085076</v>
          </cell>
          <cell r="B856" t="str">
            <v>OUTSIDE TRAIN SES-ED/HOSP WIDE</v>
          </cell>
          <cell r="C856">
            <v>1247</v>
          </cell>
        </row>
        <row r="857">
          <cell r="A857" t="str">
            <v>40085080</v>
          </cell>
          <cell r="B857" t="str">
            <v>OUTSIDE TRAIN SES-DIETARY SER</v>
          </cell>
          <cell r="C857">
            <v>615.09</v>
          </cell>
        </row>
        <row r="858">
          <cell r="A858" t="str">
            <v>40085083</v>
          </cell>
          <cell r="B858" t="str">
            <v>OUTSIDE TRAIN SES-PLANT MAINT</v>
          </cell>
          <cell r="C858">
            <v>303.08999999999997</v>
          </cell>
        </row>
        <row r="859">
          <cell r="A859" t="str">
            <v>40085084</v>
          </cell>
          <cell r="B859" t="str">
            <v>OUTSIDE TRAINING/SEM-RMH-P.T.</v>
          </cell>
          <cell r="C859">
            <v>688</v>
          </cell>
        </row>
        <row r="860">
          <cell r="A860" t="str">
            <v>40085090</v>
          </cell>
          <cell r="B860" t="str">
            <v>OUTSIDE TRAIN SES-PATIENT ACCT</v>
          </cell>
          <cell r="C860">
            <v>600</v>
          </cell>
        </row>
        <row r="861">
          <cell r="A861" t="str">
            <v>40085092</v>
          </cell>
          <cell r="B861" t="str">
            <v>OUTSIDE TRAIN SES-GEN ACCT</v>
          </cell>
          <cell r="C861">
            <v>605</v>
          </cell>
        </row>
        <row r="862">
          <cell r="A862" t="str">
            <v>40085096</v>
          </cell>
          <cell r="B862" t="str">
            <v>OUTSIDE TRAINING- HOSPITALISTS</v>
          </cell>
          <cell r="C862">
            <v>3229.7</v>
          </cell>
        </row>
        <row r="863">
          <cell r="A863" t="str">
            <v>40085098</v>
          </cell>
          <cell r="B863" t="str">
            <v>OUTSIDE TRAIN SES-MED STAFF</v>
          </cell>
          <cell r="C863">
            <v>828</v>
          </cell>
        </row>
        <row r="864">
          <cell r="A864" t="str">
            <v>40086008</v>
          </cell>
          <cell r="B864" t="str">
            <v>TRAVEL OTHER-PAT CARE SVCS</v>
          </cell>
          <cell r="C864">
            <v>421.17</v>
          </cell>
        </row>
        <row r="865">
          <cell r="A865" t="str">
            <v>40086009</v>
          </cell>
          <cell r="B865" t="str">
            <v>TRAVEL/MILEAGE-MED/SURG</v>
          </cell>
          <cell r="C865">
            <v>47.46</v>
          </cell>
        </row>
        <row r="866">
          <cell r="A866" t="str">
            <v>40086013</v>
          </cell>
          <cell r="B866" t="str">
            <v>TRAVEL/MILEAGE-CHILDBIRTH</v>
          </cell>
          <cell r="C866">
            <v>2353.15</v>
          </cell>
        </row>
        <row r="867">
          <cell r="A867" t="str">
            <v>40086015</v>
          </cell>
          <cell r="B867" t="str">
            <v>TRAVE/MILEAGE - ENT</v>
          </cell>
          <cell r="C867">
            <v>136.35</v>
          </cell>
        </row>
        <row r="868">
          <cell r="A868" t="str">
            <v>40086017</v>
          </cell>
          <cell r="B868" t="str">
            <v>TRAVEL/MILEAGE-CVOSM</v>
          </cell>
          <cell r="C868">
            <v>73.73</v>
          </cell>
        </row>
        <row r="869">
          <cell r="A869" t="str">
            <v>40086018</v>
          </cell>
          <cell r="B869" t="str">
            <v>TRAVEL/MILEAGE-WINDHAM</v>
          </cell>
          <cell r="C869">
            <v>1637.15</v>
          </cell>
        </row>
        <row r="870">
          <cell r="A870" t="str">
            <v>40086020</v>
          </cell>
          <cell r="B870" t="str">
            <v>MILEAGE/MAMMO</v>
          </cell>
          <cell r="C870">
            <v>122.71</v>
          </cell>
        </row>
        <row r="871">
          <cell r="A871" t="str">
            <v>40086021</v>
          </cell>
          <cell r="B871" t="str">
            <v>TRAVEL OTHER - OR</v>
          </cell>
          <cell r="C871">
            <v>21.64</v>
          </cell>
        </row>
        <row r="872">
          <cell r="A872" t="str">
            <v>40086041</v>
          </cell>
          <cell r="B872" t="str">
            <v>TRAVEL OTHER-LAB-CLIN</v>
          </cell>
          <cell r="C872">
            <v>3478.21</v>
          </cell>
        </row>
        <row r="873">
          <cell r="A873" t="str">
            <v>40086045</v>
          </cell>
          <cell r="B873" t="str">
            <v>TRAVEL OTHER-CAT SCAN</v>
          </cell>
          <cell r="C873">
            <v>18.18</v>
          </cell>
        </row>
        <row r="874">
          <cell r="A874" t="str">
            <v>40086047</v>
          </cell>
          <cell r="B874" t="str">
            <v>TRAVEL OTHER-PHARMACY</v>
          </cell>
          <cell r="C874">
            <v>1226.79</v>
          </cell>
        </row>
        <row r="875">
          <cell r="A875" t="str">
            <v>40086050</v>
          </cell>
          <cell r="B875" t="str">
            <v>TRAVEL OTHER-RESP THERAPY</v>
          </cell>
          <cell r="C875">
            <v>42.93</v>
          </cell>
        </row>
        <row r="876">
          <cell r="A876" t="str">
            <v>40086057</v>
          </cell>
          <cell r="B876" t="str">
            <v>TRAVEL OTHER--MEDICAL RECORDS</v>
          </cell>
          <cell r="C876">
            <v>148.43</v>
          </cell>
        </row>
        <row r="877">
          <cell r="A877" t="str">
            <v>40086061</v>
          </cell>
          <cell r="B877" t="str">
            <v>TRAVEL OTHER-PERSONNEL</v>
          </cell>
          <cell r="C877">
            <v>91.21</v>
          </cell>
        </row>
        <row r="878">
          <cell r="A878" t="str">
            <v>40086062</v>
          </cell>
          <cell r="B878" t="str">
            <v>TRAVEL/OTHER-QUALITY ASSURANCE</v>
          </cell>
          <cell r="C878">
            <v>213.11</v>
          </cell>
        </row>
        <row r="879">
          <cell r="A879" t="str">
            <v>40086064</v>
          </cell>
          <cell r="B879" t="str">
            <v>TRAVEL OTHER PUR &amp; STORE</v>
          </cell>
          <cell r="C879">
            <v>623.67999999999995</v>
          </cell>
        </row>
        <row r="880">
          <cell r="A880" t="str">
            <v>40086073</v>
          </cell>
          <cell r="B880" t="str">
            <v>TRAVEL - SPFLD ADULT DAYCARE</v>
          </cell>
          <cell r="C880">
            <v>28936.32</v>
          </cell>
        </row>
        <row r="881">
          <cell r="A881" t="str">
            <v>40086076</v>
          </cell>
          <cell r="B881" t="str">
            <v>TRAVEL-OTHER-ED. HOSP. WIDE</v>
          </cell>
          <cell r="C881">
            <v>83.63</v>
          </cell>
        </row>
        <row r="882">
          <cell r="A882" t="str">
            <v>40086080</v>
          </cell>
          <cell r="B882" t="str">
            <v>TRAVEL OTHER-DIETARY SERVICES</v>
          </cell>
          <cell r="C882">
            <v>93.93</v>
          </cell>
        </row>
        <row r="883">
          <cell r="A883" t="str">
            <v>40086083</v>
          </cell>
          <cell r="B883" t="str">
            <v>TRAVEL OTHER-PLANT MAINTENANCE</v>
          </cell>
          <cell r="C883">
            <v>4438.2</v>
          </cell>
        </row>
        <row r="884">
          <cell r="A884" t="str">
            <v>40086092</v>
          </cell>
          <cell r="B884" t="str">
            <v>TRAVEL OTHER- GENERAL ACCT</v>
          </cell>
          <cell r="C884">
            <v>202</v>
          </cell>
        </row>
        <row r="885">
          <cell r="A885" t="str">
            <v>40087009</v>
          </cell>
          <cell r="B885" t="str">
            <v>POSTAGE/FREIGHT-MED SURG</v>
          </cell>
          <cell r="C885">
            <v>563.4</v>
          </cell>
        </row>
        <row r="886">
          <cell r="A886" t="str">
            <v>40087013</v>
          </cell>
          <cell r="B886" t="str">
            <v>POSTAGE/FREIGHT-CHILDBIRTH</v>
          </cell>
          <cell r="C886">
            <v>1524.93</v>
          </cell>
        </row>
        <row r="887">
          <cell r="A887" t="str">
            <v>40087015</v>
          </cell>
          <cell r="B887" t="str">
            <v>POSTAGE/FREIGHT - ENT</v>
          </cell>
          <cell r="C887">
            <v>2272.63</v>
          </cell>
        </row>
        <row r="888">
          <cell r="A888" t="str">
            <v>40087017</v>
          </cell>
          <cell r="B888" t="str">
            <v>POSTAGE/FREIGHT-CVOSM</v>
          </cell>
          <cell r="C888">
            <v>3565.82</v>
          </cell>
        </row>
        <row r="889">
          <cell r="A889" t="str">
            <v>40087018</v>
          </cell>
          <cell r="B889" t="str">
            <v>POSTAGE/FREIGHT-WINDHAM</v>
          </cell>
          <cell r="C889">
            <v>414.96</v>
          </cell>
        </row>
        <row r="890">
          <cell r="A890" t="str">
            <v>40087019</v>
          </cell>
          <cell r="B890" t="str">
            <v>POSTAGE/FREIGHT-PULM REHAB</v>
          </cell>
          <cell r="C890">
            <v>46.36</v>
          </cell>
        </row>
        <row r="891">
          <cell r="A891" t="str">
            <v>40087020</v>
          </cell>
          <cell r="B891" t="str">
            <v>FREIGHT - MAMMOGRAPHY</v>
          </cell>
          <cell r="C891">
            <v>125.07</v>
          </cell>
        </row>
        <row r="892">
          <cell r="A892" t="str">
            <v>40087021</v>
          </cell>
          <cell r="B892" t="str">
            <v>POSTAGE/FREIGHT-OR</v>
          </cell>
          <cell r="C892">
            <v>25281.45</v>
          </cell>
        </row>
        <row r="893">
          <cell r="A893" t="str">
            <v>40087022</v>
          </cell>
          <cell r="B893" t="str">
            <v>POSTAGE/FREIGHT-RECOVERY</v>
          </cell>
          <cell r="C893">
            <v>-218.38</v>
          </cell>
        </row>
        <row r="894">
          <cell r="A894" t="str">
            <v>40087023</v>
          </cell>
          <cell r="B894" t="str">
            <v>POSTAGE/FREIGHT-ER</v>
          </cell>
          <cell r="C894">
            <v>3086.57</v>
          </cell>
        </row>
        <row r="895">
          <cell r="A895" t="str">
            <v>40087024</v>
          </cell>
          <cell r="B895" t="str">
            <v>POSTAGE/FREIGHT-ODS</v>
          </cell>
          <cell r="C895">
            <v>18.89</v>
          </cell>
        </row>
        <row r="896">
          <cell r="A896" t="str">
            <v>40087027</v>
          </cell>
          <cell r="B896" t="str">
            <v>POSTAGE/FREIGHT</v>
          </cell>
          <cell r="C896">
            <v>4.95</v>
          </cell>
        </row>
        <row r="897">
          <cell r="A897" t="str">
            <v>40087028</v>
          </cell>
          <cell r="B897" t="str">
            <v>POSTAGE/FREIGHT</v>
          </cell>
          <cell r="C897">
            <v>2253.84</v>
          </cell>
        </row>
        <row r="898">
          <cell r="A898" t="str">
            <v>40087029</v>
          </cell>
          <cell r="B898" t="str">
            <v>POSTAGE/FREIGHT</v>
          </cell>
          <cell r="C898">
            <v>426.67</v>
          </cell>
        </row>
        <row r="899">
          <cell r="A899" t="str">
            <v>40087037</v>
          </cell>
          <cell r="B899" t="str">
            <v>FREIGHT/POSTAGE-SURGICAL</v>
          </cell>
          <cell r="C899">
            <v>1083.58</v>
          </cell>
        </row>
        <row r="900">
          <cell r="A900" t="str">
            <v>40087040</v>
          </cell>
          <cell r="B900" t="str">
            <v>POSTAGE/FREIGHT</v>
          </cell>
          <cell r="C900">
            <v>356.81</v>
          </cell>
        </row>
        <row r="901">
          <cell r="A901" t="str">
            <v>40087041</v>
          </cell>
          <cell r="B901" t="str">
            <v>POSTAGE/FREIGHT</v>
          </cell>
          <cell r="C901">
            <v>15780.75</v>
          </cell>
        </row>
        <row r="902">
          <cell r="A902" t="str">
            <v>40087044</v>
          </cell>
          <cell r="B902" t="str">
            <v>POSTAGE/FREIGHT-XRAY</v>
          </cell>
          <cell r="C902">
            <v>2289.9499999999998</v>
          </cell>
        </row>
        <row r="903">
          <cell r="A903" t="str">
            <v>40087045</v>
          </cell>
          <cell r="B903" t="str">
            <v>POSTAGE/FREIGHT-CAT SCAN</v>
          </cell>
          <cell r="C903">
            <v>2546.56</v>
          </cell>
        </row>
        <row r="904">
          <cell r="A904" t="str">
            <v>40087046</v>
          </cell>
          <cell r="B904" t="str">
            <v>POSTAGE/FREIGHT</v>
          </cell>
          <cell r="C904">
            <v>197.63</v>
          </cell>
        </row>
        <row r="905">
          <cell r="A905" t="str">
            <v>40087047</v>
          </cell>
          <cell r="B905" t="str">
            <v>POSTAGE/FREIGHT-PHARMACY</v>
          </cell>
          <cell r="C905">
            <v>2282.29</v>
          </cell>
        </row>
        <row r="906">
          <cell r="A906" t="str">
            <v>40087048</v>
          </cell>
          <cell r="B906" t="str">
            <v>POSTAGE/FREIGHT</v>
          </cell>
          <cell r="C906">
            <v>176.16</v>
          </cell>
        </row>
        <row r="907">
          <cell r="A907" t="str">
            <v>40087049</v>
          </cell>
          <cell r="B907" t="str">
            <v>POSTAGE/FREIGHT-PT</v>
          </cell>
          <cell r="C907">
            <v>593.29</v>
          </cell>
        </row>
        <row r="908">
          <cell r="A908" t="str">
            <v>40087050</v>
          </cell>
          <cell r="B908" t="str">
            <v>POSTAGE/FREIGHT</v>
          </cell>
          <cell r="C908">
            <v>821.15</v>
          </cell>
        </row>
        <row r="909">
          <cell r="A909" t="str">
            <v>40087057</v>
          </cell>
          <cell r="B909" t="str">
            <v>POSTAGE/FREIGHT-MED RECORDS</v>
          </cell>
          <cell r="C909">
            <v>235.99</v>
          </cell>
        </row>
        <row r="910">
          <cell r="A910" t="str">
            <v>40087059</v>
          </cell>
          <cell r="B910" t="str">
            <v>POSTAGE/FREIGHT</v>
          </cell>
          <cell r="C910">
            <v>67.3</v>
          </cell>
        </row>
        <row r="911">
          <cell r="A911" t="str">
            <v>40087060</v>
          </cell>
          <cell r="B911" t="str">
            <v>POSTAGE/FREIGHT</v>
          </cell>
          <cell r="C911">
            <v>247.39</v>
          </cell>
        </row>
        <row r="912">
          <cell r="A912" t="str">
            <v>40087061</v>
          </cell>
          <cell r="B912" t="str">
            <v>POSTAGE/FREIGHT</v>
          </cell>
          <cell r="C912">
            <v>587.64</v>
          </cell>
        </row>
        <row r="913">
          <cell r="A913" t="str">
            <v>40087062</v>
          </cell>
          <cell r="B913" t="str">
            <v>POSTAGE/FREIGHT</v>
          </cell>
          <cell r="C913">
            <v>879.55</v>
          </cell>
        </row>
        <row r="914">
          <cell r="A914" t="str">
            <v>40087064</v>
          </cell>
          <cell r="B914" t="str">
            <v>POSTAGE/FREIGHT-PURCHASING</v>
          </cell>
          <cell r="C914">
            <v>12538.25</v>
          </cell>
        </row>
        <row r="915">
          <cell r="A915" t="str">
            <v>40087065</v>
          </cell>
          <cell r="B915" t="str">
            <v>POSTAGE/FREIGHT</v>
          </cell>
          <cell r="C915">
            <v>40.9</v>
          </cell>
        </row>
        <row r="916">
          <cell r="A916" t="str">
            <v>40087067</v>
          </cell>
          <cell r="B916" t="str">
            <v>POSTAGE/FREIGHT</v>
          </cell>
          <cell r="C916">
            <v>28850.52</v>
          </cell>
        </row>
        <row r="917">
          <cell r="A917" t="str">
            <v>40087073</v>
          </cell>
          <cell r="B917" t="str">
            <v>POSTAGE - SPFLD ADULT DAYCARE</v>
          </cell>
          <cell r="C917">
            <v>589.34</v>
          </cell>
        </row>
        <row r="918">
          <cell r="A918" t="str">
            <v>40087076</v>
          </cell>
          <cell r="B918" t="str">
            <v>POSTAGE/FREIGHT</v>
          </cell>
          <cell r="C918">
            <v>287.35000000000002</v>
          </cell>
        </row>
        <row r="919">
          <cell r="A919" t="str">
            <v>40087080</v>
          </cell>
          <cell r="B919" t="str">
            <v>POSTAGE/FREIGHT</v>
          </cell>
          <cell r="C919">
            <v>1060.73</v>
          </cell>
        </row>
        <row r="920">
          <cell r="A920" t="str">
            <v>40087083</v>
          </cell>
          <cell r="B920" t="str">
            <v>POSTAGE/FREIGHT-PLANT MAIN.</v>
          </cell>
          <cell r="C920">
            <v>7569</v>
          </cell>
        </row>
        <row r="921">
          <cell r="A921" t="str">
            <v>40087084</v>
          </cell>
          <cell r="B921" t="str">
            <v>POSTAGE/FREIGHT-RMH-P.T.</v>
          </cell>
          <cell r="C921">
            <v>39.97</v>
          </cell>
        </row>
        <row r="922">
          <cell r="A922" t="str">
            <v>40087085</v>
          </cell>
          <cell r="B922" t="str">
            <v>POSTAGE/FREIGHT</v>
          </cell>
          <cell r="C922">
            <v>321.73</v>
          </cell>
        </row>
        <row r="923">
          <cell r="A923" t="str">
            <v>40087086</v>
          </cell>
          <cell r="B923" t="str">
            <v>POSTAGE/FREIGHT</v>
          </cell>
          <cell r="C923">
            <v>171.6</v>
          </cell>
        </row>
        <row r="924">
          <cell r="A924" t="str">
            <v>40087089</v>
          </cell>
          <cell r="B924" t="str">
            <v>POSTAGE/FREIGHT</v>
          </cell>
          <cell r="C924">
            <v>124.55</v>
          </cell>
        </row>
        <row r="925">
          <cell r="A925" t="str">
            <v>40087090</v>
          </cell>
          <cell r="B925" t="str">
            <v>POSTAGE/FREIGHT/PFS</v>
          </cell>
          <cell r="C925">
            <v>28.39</v>
          </cell>
        </row>
        <row r="926">
          <cell r="A926" t="str">
            <v>40087091</v>
          </cell>
          <cell r="B926" t="str">
            <v>POSTAGE/FREIGHT-DATA PROC.</v>
          </cell>
          <cell r="C926">
            <v>2466.59</v>
          </cell>
        </row>
        <row r="927">
          <cell r="A927" t="str">
            <v>40087092</v>
          </cell>
          <cell r="B927" t="str">
            <v>POSTAGE/FREIGHT</v>
          </cell>
          <cell r="C927">
            <v>193.28</v>
          </cell>
        </row>
        <row r="928">
          <cell r="A928" t="str">
            <v>40087093</v>
          </cell>
          <cell r="B928" t="str">
            <v>POSTAGE/FREIGHT</v>
          </cell>
          <cell r="C928">
            <v>29.84</v>
          </cell>
        </row>
        <row r="929">
          <cell r="A929" t="str">
            <v>40087097</v>
          </cell>
          <cell r="B929" t="str">
            <v>POSTAGE/FREIGHT</v>
          </cell>
          <cell r="C929">
            <v>31.12</v>
          </cell>
        </row>
        <row r="930">
          <cell r="A930" t="str">
            <v>40088065</v>
          </cell>
          <cell r="B930" t="str">
            <v>PRINTING + DUP-PUB REL</v>
          </cell>
          <cell r="C930">
            <v>2366.9</v>
          </cell>
        </row>
        <row r="931">
          <cell r="A931" t="str">
            <v>40089008</v>
          </cell>
          <cell r="B931" t="str">
            <v>OTHER EXPENSES-PAT CARE SVCS</v>
          </cell>
          <cell r="C931">
            <v>4188.54</v>
          </cell>
        </row>
        <row r="932">
          <cell r="A932" t="str">
            <v>40089009</v>
          </cell>
          <cell r="B932" t="str">
            <v>OTHER EXPENSES- MED/SURG</v>
          </cell>
          <cell r="C932">
            <v>1350.3</v>
          </cell>
        </row>
        <row r="933">
          <cell r="A933" t="str">
            <v>40089013</v>
          </cell>
          <cell r="B933" t="str">
            <v>OTHER EXPENSES-CHILDBIRTH</v>
          </cell>
          <cell r="C933">
            <v>258</v>
          </cell>
        </row>
        <row r="934">
          <cell r="A934" t="str">
            <v>40089015</v>
          </cell>
          <cell r="B934" t="str">
            <v>OTHER EXPENSES - ENT</v>
          </cell>
          <cell r="C934">
            <v>-114326.24</v>
          </cell>
        </row>
        <row r="935">
          <cell r="A935" t="str">
            <v>40089017</v>
          </cell>
          <cell r="B935" t="str">
            <v>OTHER EXPENSES-CVOSM</v>
          </cell>
          <cell r="C935">
            <v>2298.48</v>
          </cell>
        </row>
        <row r="936">
          <cell r="A936" t="str">
            <v>40089018</v>
          </cell>
          <cell r="B936" t="str">
            <v>OTHER EXPENSES-WINDHAM</v>
          </cell>
          <cell r="C936">
            <v>2902.49</v>
          </cell>
        </row>
        <row r="937">
          <cell r="A937" t="str">
            <v>40089019</v>
          </cell>
          <cell r="B937" t="str">
            <v>OTHER EXPENSES-PULM REHAB</v>
          </cell>
          <cell r="C937">
            <v>2141.94</v>
          </cell>
        </row>
        <row r="938">
          <cell r="A938" t="str">
            <v>40089020</v>
          </cell>
          <cell r="B938" t="str">
            <v>OTHER EXPENSES - MAMMO</v>
          </cell>
          <cell r="C938">
            <v>22.99</v>
          </cell>
        </row>
        <row r="939">
          <cell r="A939" t="str">
            <v>40089021</v>
          </cell>
          <cell r="B939" t="str">
            <v>OTHER EXPENSES - OR</v>
          </cell>
          <cell r="C939">
            <v>944.32</v>
          </cell>
        </row>
        <row r="940">
          <cell r="A940" t="str">
            <v>40089023</v>
          </cell>
          <cell r="B940" t="str">
            <v>OTHER EXPENSES-EMERGENCY SVCS.</v>
          </cell>
          <cell r="C940">
            <v>8044.29</v>
          </cell>
        </row>
        <row r="941">
          <cell r="A941" t="str">
            <v>40089029</v>
          </cell>
          <cell r="B941" t="str">
            <v>OTHER EXPENSES-SPEC. SERVICES</v>
          </cell>
          <cell r="C941">
            <v>163.82</v>
          </cell>
        </row>
        <row r="942">
          <cell r="A942" t="str">
            <v>40089035</v>
          </cell>
          <cell r="B942" t="str">
            <v>OTHER EXPENSE- EMPLOYEE BEN</v>
          </cell>
          <cell r="C942">
            <v>87793.65</v>
          </cell>
        </row>
        <row r="943">
          <cell r="A943" t="str">
            <v>40089037</v>
          </cell>
          <cell r="B943" t="str">
            <v>OTHER EXPENSES-SURGICAL</v>
          </cell>
          <cell r="C943">
            <v>864.05</v>
          </cell>
        </row>
        <row r="944">
          <cell r="A944" t="str">
            <v>40089039</v>
          </cell>
          <cell r="B944" t="str">
            <v>OTHER EXPENSE- SEC- SITTING</v>
          </cell>
          <cell r="C944">
            <v>7637.32</v>
          </cell>
        </row>
        <row r="945">
          <cell r="A945" t="str">
            <v>40089040</v>
          </cell>
          <cell r="B945" t="str">
            <v>OTHER EXPENSES-ULTRASOUND</v>
          </cell>
          <cell r="C945">
            <v>449.38</v>
          </cell>
        </row>
        <row r="946">
          <cell r="A946" t="str">
            <v>40089041</v>
          </cell>
          <cell r="B946" t="str">
            <v>OTHER EXPENSES-LAB-CLIN</v>
          </cell>
          <cell r="C946">
            <v>5066.3999999999996</v>
          </cell>
        </row>
        <row r="947">
          <cell r="A947" t="str">
            <v>40089042</v>
          </cell>
          <cell r="B947" t="str">
            <v>OTHER EXPENSES-BLOOD BANK</v>
          </cell>
          <cell r="C947">
            <v>16.97</v>
          </cell>
        </row>
        <row r="948">
          <cell r="A948" t="str">
            <v>40089044</v>
          </cell>
          <cell r="B948" t="str">
            <v>OTHER EXPENSES-RADIOLOGY</v>
          </cell>
          <cell r="C948">
            <v>853.25</v>
          </cell>
        </row>
        <row r="949">
          <cell r="A949" t="str">
            <v>40089045</v>
          </cell>
          <cell r="B949" t="str">
            <v>OTHER EXPENSES - CAT SCAN</v>
          </cell>
          <cell r="C949">
            <v>51.24</v>
          </cell>
        </row>
        <row r="950">
          <cell r="A950" t="str">
            <v>40089047</v>
          </cell>
          <cell r="B950" t="str">
            <v>OTHER EXPENSES - PHARMACY</v>
          </cell>
          <cell r="C950">
            <v>1130.1400000000001</v>
          </cell>
        </row>
        <row r="951">
          <cell r="A951" t="str">
            <v>40089057</v>
          </cell>
          <cell r="B951" t="str">
            <v>OTHER EXPENSES--MEDICAL REC</v>
          </cell>
          <cell r="C951">
            <v>96.5</v>
          </cell>
        </row>
        <row r="952">
          <cell r="A952" t="str">
            <v>40089059</v>
          </cell>
          <cell r="B952" t="str">
            <v>OTHER EXPENSES-DIASTER</v>
          </cell>
          <cell r="C952">
            <v>4551.67</v>
          </cell>
        </row>
        <row r="953">
          <cell r="A953" t="str">
            <v>40089060</v>
          </cell>
          <cell r="B953" t="str">
            <v>OTHER EXPENSES-ADM AND GENERAL</v>
          </cell>
          <cell r="C953">
            <v>148534.15</v>
          </cell>
        </row>
        <row r="954">
          <cell r="A954" t="str">
            <v>40089061</v>
          </cell>
          <cell r="B954" t="str">
            <v>OTHER EXPENSES-PERSONNEL</v>
          </cell>
          <cell r="C954">
            <v>781</v>
          </cell>
        </row>
        <row r="955">
          <cell r="A955" t="str">
            <v>40089062</v>
          </cell>
          <cell r="B955" t="str">
            <v>OTHER EXPENSES-QUALITY ASSUR.</v>
          </cell>
          <cell r="C955">
            <v>1170.96</v>
          </cell>
        </row>
        <row r="956">
          <cell r="A956" t="str">
            <v>40089064</v>
          </cell>
          <cell r="B956" t="str">
            <v>OTHER EXPENSES PUR &amp; STORE</v>
          </cell>
          <cell r="C956">
            <v>5689.8</v>
          </cell>
        </row>
        <row r="957">
          <cell r="A957" t="str">
            <v>40089065</v>
          </cell>
          <cell r="B957" t="str">
            <v>OTHER EXPENSES-PUB REL</v>
          </cell>
          <cell r="C957">
            <v>1903.69</v>
          </cell>
        </row>
        <row r="958">
          <cell r="A958" t="str">
            <v>40089069</v>
          </cell>
          <cell r="B958" t="str">
            <v>OTHER EXP- PRACTICE OPERATIONS</v>
          </cell>
          <cell r="C958">
            <v>637.55999999999995</v>
          </cell>
        </row>
        <row r="959">
          <cell r="A959" t="str">
            <v>40089073</v>
          </cell>
          <cell r="B959" t="str">
            <v>OTHER EXPENSE-SPFLD DAYCARE</v>
          </cell>
          <cell r="C959">
            <v>5538.72</v>
          </cell>
        </row>
        <row r="960">
          <cell r="A960" t="str">
            <v>40089076</v>
          </cell>
          <cell r="B960" t="str">
            <v>OTHER EXPENSES-ED/HOSP WIDE</v>
          </cell>
          <cell r="C960">
            <v>-64.55</v>
          </cell>
        </row>
        <row r="961">
          <cell r="A961" t="str">
            <v>40089080</v>
          </cell>
          <cell r="B961" t="str">
            <v>OTHER EXPENSES-DIETARY EXPENSE</v>
          </cell>
          <cell r="C961">
            <v>508.36</v>
          </cell>
        </row>
        <row r="962">
          <cell r="A962" t="str">
            <v>40089083</v>
          </cell>
          <cell r="B962" t="str">
            <v>OTHER EXPENSES-PLANT MAINT</v>
          </cell>
          <cell r="C962">
            <v>141153.92000000001</v>
          </cell>
        </row>
        <row r="963">
          <cell r="A963" t="str">
            <v>40089085</v>
          </cell>
          <cell r="B963" t="str">
            <v>OTHER EXPENSES-HSKP SERVICES</v>
          </cell>
          <cell r="C963">
            <v>135.55000000000001</v>
          </cell>
        </row>
        <row r="964">
          <cell r="A964" t="str">
            <v>40089089</v>
          </cell>
          <cell r="B964" t="str">
            <v>OTHER EXPENSES-OUTPT REG</v>
          </cell>
          <cell r="C964">
            <v>12</v>
          </cell>
        </row>
        <row r="965">
          <cell r="A965" t="str">
            <v>40089090</v>
          </cell>
          <cell r="B965" t="str">
            <v>OTHER EXPENSES-PATIENT ACCT</v>
          </cell>
          <cell r="C965">
            <v>1582.29</v>
          </cell>
        </row>
        <row r="966">
          <cell r="A966" t="str">
            <v>40089091</v>
          </cell>
          <cell r="B966" t="str">
            <v>OTHER EXPENSES-DATA PROCESSING</v>
          </cell>
          <cell r="C966">
            <v>116.99</v>
          </cell>
        </row>
        <row r="967">
          <cell r="A967" t="str">
            <v>40089092</v>
          </cell>
          <cell r="B967" t="str">
            <v>OTHER EXPENSES-GENERAL ACCT</v>
          </cell>
          <cell r="C967">
            <v>21319.83</v>
          </cell>
        </row>
        <row r="968">
          <cell r="A968" t="str">
            <v>40089095</v>
          </cell>
          <cell r="B968" t="str">
            <v>OTHER EXPENSES-CORP COMPLIANCE</v>
          </cell>
          <cell r="C968">
            <v>217.25</v>
          </cell>
        </row>
        <row r="969">
          <cell r="A969" t="str">
            <v>40089097</v>
          </cell>
          <cell r="B969" t="str">
            <v>OTHER EXPENSES-AUXILIARY GROUP</v>
          </cell>
          <cell r="C969">
            <v>9354.81</v>
          </cell>
        </row>
        <row r="970">
          <cell r="A970" t="str">
            <v>40089098</v>
          </cell>
          <cell r="B970" t="str">
            <v>OTHER EXPENSES-MEDICAL STAFF</v>
          </cell>
          <cell r="C970">
            <v>2090.65</v>
          </cell>
        </row>
        <row r="971">
          <cell r="A971" t="str">
            <v>40090030</v>
          </cell>
          <cell r="B971" t="str">
            <v>AMORTIZ OF BOND ISS/LOC COSTS</v>
          </cell>
          <cell r="C971">
            <v>3900</v>
          </cell>
        </row>
        <row r="972">
          <cell r="A972" t="str">
            <v>40091030</v>
          </cell>
          <cell r="B972" t="str">
            <v>BUILDING-DEPRECIATION</v>
          </cell>
          <cell r="C972">
            <v>448028.25</v>
          </cell>
        </row>
        <row r="973">
          <cell r="A973" t="str">
            <v>40091075</v>
          </cell>
          <cell r="B973" t="str">
            <v>DEPRECIATION-BLDG-RMH</v>
          </cell>
          <cell r="C973">
            <v>13965.5</v>
          </cell>
        </row>
        <row r="974">
          <cell r="A974" t="str">
            <v>40092030</v>
          </cell>
          <cell r="B974" t="str">
            <v>FIXED EQUIPMENT-DEPRECIATION</v>
          </cell>
          <cell r="C974">
            <v>151060.62</v>
          </cell>
        </row>
        <row r="975">
          <cell r="A975" t="str">
            <v>40092075</v>
          </cell>
          <cell r="B975" t="str">
            <v>DEPRECIATION-FIXED EQUIP-RMH</v>
          </cell>
          <cell r="C975">
            <v>3992.04</v>
          </cell>
        </row>
        <row r="976">
          <cell r="A976" t="str">
            <v>40093030</v>
          </cell>
          <cell r="B976" t="str">
            <v>MAJOR MOVABLE EQUIP.-DEPR</v>
          </cell>
          <cell r="C976">
            <v>1491501.59</v>
          </cell>
        </row>
        <row r="977">
          <cell r="A977" t="str">
            <v>40093075</v>
          </cell>
          <cell r="B977" t="str">
            <v>DEPRECIATION-MAJOR MOVBL-RMH</v>
          </cell>
          <cell r="C977">
            <v>13594.32</v>
          </cell>
        </row>
        <row r="978">
          <cell r="A978" t="str">
            <v>40094030</v>
          </cell>
          <cell r="B978" t="str">
            <v>LAND IMPROVEMENTS-DEPRECIATION</v>
          </cell>
          <cell r="C978">
            <v>67172.61</v>
          </cell>
        </row>
        <row r="979">
          <cell r="A979" t="str">
            <v>40094075</v>
          </cell>
          <cell r="B979" t="str">
            <v>DEPRECIATION-L/H IMPROVMT-RMH</v>
          </cell>
          <cell r="C979">
            <v>7119.91</v>
          </cell>
        </row>
        <row r="980">
          <cell r="A980" t="str">
            <v>40095015</v>
          </cell>
          <cell r="B980" t="str">
            <v>LEASE/RENTALS BLDGS - ENT</v>
          </cell>
          <cell r="C980">
            <v>31266.12</v>
          </cell>
        </row>
        <row r="981">
          <cell r="A981" t="str">
            <v>40095017</v>
          </cell>
          <cell r="B981" t="str">
            <v>LEASE/RENTALS/BLDGS</v>
          </cell>
          <cell r="C981">
            <v>32887.5</v>
          </cell>
        </row>
        <row r="982">
          <cell r="A982" t="str">
            <v>40095018</v>
          </cell>
          <cell r="B982" t="str">
            <v>RENT/LEASE BLDG-RMH-PSYCH</v>
          </cell>
          <cell r="C982">
            <v>48000</v>
          </cell>
        </row>
        <row r="983">
          <cell r="A983" t="str">
            <v>40095037</v>
          </cell>
          <cell r="B983" t="str">
            <v>LEASE/RENTALS BLDGS</v>
          </cell>
          <cell r="C983">
            <v>16800</v>
          </cell>
        </row>
        <row r="984">
          <cell r="A984" t="str">
            <v>40095041</v>
          </cell>
          <cell r="B984" t="str">
            <v>LEASE/RENTALS BLDG.-LAB-CLIN</v>
          </cell>
          <cell r="C984">
            <v>13236.84</v>
          </cell>
        </row>
        <row r="985">
          <cell r="A985" t="str">
            <v>40095049</v>
          </cell>
          <cell r="B985" t="str">
            <v>LEASE/RENTALS BLDGS-PHY THPY</v>
          </cell>
          <cell r="C985">
            <v>68546.880000000005</v>
          </cell>
        </row>
        <row r="986">
          <cell r="A986" t="str">
            <v>40095055</v>
          </cell>
          <cell r="B986" t="str">
            <v>LEASE/RENT BLDG-CODING</v>
          </cell>
          <cell r="C986">
            <v>14736</v>
          </cell>
        </row>
        <row r="987">
          <cell r="A987" t="str">
            <v>40095060</v>
          </cell>
          <cell r="B987" t="str">
            <v>LEASE/RENTALS BLDS-ADM AND GEN</v>
          </cell>
          <cell r="C987">
            <v>2627.02</v>
          </cell>
        </row>
        <row r="988">
          <cell r="A988" t="str">
            <v>40095072</v>
          </cell>
          <cell r="B988" t="str">
            <v>LEASE/RENTAL BLDGS-MED. RECORD</v>
          </cell>
          <cell r="C988">
            <v>6000</v>
          </cell>
        </row>
        <row r="989">
          <cell r="A989" t="str">
            <v>40095073</v>
          </cell>
          <cell r="B989" t="str">
            <v>LEASE/RENT BLDGS-SPFLD ADULT</v>
          </cell>
          <cell r="C989">
            <v>79265.070000000007</v>
          </cell>
        </row>
        <row r="990">
          <cell r="A990" t="str">
            <v>40095083</v>
          </cell>
          <cell r="B990" t="str">
            <v>LEASE/RENTALS BLDGS-PLANT MAIN</v>
          </cell>
          <cell r="C990">
            <v>10080</v>
          </cell>
        </row>
        <row r="991">
          <cell r="A991" t="str">
            <v>40095084</v>
          </cell>
          <cell r="B991" t="str">
            <v>RENT/LEASE BLDG-RMH-P.T.</v>
          </cell>
          <cell r="C991">
            <v>9000</v>
          </cell>
        </row>
        <row r="992">
          <cell r="A992" t="str">
            <v>40095090</v>
          </cell>
          <cell r="B992" t="str">
            <v>LEASE/RENTAL BLDG-PATIENT ACCT</v>
          </cell>
          <cell r="C992">
            <v>9329.2800000000007</v>
          </cell>
        </row>
        <row r="993">
          <cell r="A993" t="str">
            <v>40096009</v>
          </cell>
          <cell r="B993" t="str">
            <v>LEASE/RENTALS EQUIP-MED/SURG I</v>
          </cell>
          <cell r="C993">
            <v>38874.78</v>
          </cell>
        </row>
        <row r="994">
          <cell r="A994" t="str">
            <v>40096013</v>
          </cell>
          <cell r="B994" t="str">
            <v>LEASE/RENTALS/EQUIP-CHILDBIRTH</v>
          </cell>
          <cell r="C994">
            <v>9688.2900000000009</v>
          </cell>
        </row>
        <row r="995">
          <cell r="A995" t="str">
            <v>40096015</v>
          </cell>
          <cell r="B995" t="str">
            <v>LEASE/RENTAL EQUIP - ENT</v>
          </cell>
          <cell r="C995">
            <v>2112.66</v>
          </cell>
        </row>
        <row r="996">
          <cell r="A996" t="str">
            <v>40096017</v>
          </cell>
          <cell r="B996" t="str">
            <v>LEASE/RENTALS EQUIP</v>
          </cell>
          <cell r="C996">
            <v>9997.5</v>
          </cell>
        </row>
        <row r="997">
          <cell r="A997" t="str">
            <v>40096018</v>
          </cell>
          <cell r="B997" t="str">
            <v>RENT/LEASE EQUIP-RMH-PSYCH</v>
          </cell>
          <cell r="C997">
            <v>15454.77</v>
          </cell>
        </row>
        <row r="998">
          <cell r="A998" t="str">
            <v>40096019</v>
          </cell>
          <cell r="B998" t="str">
            <v>LEASE/RENTALS EQUIP-PULM REHAB</v>
          </cell>
          <cell r="C998">
            <v>83.4</v>
          </cell>
        </row>
        <row r="999">
          <cell r="A999" t="str">
            <v>40096020</v>
          </cell>
          <cell r="B999" t="str">
            <v>LEASE RENTALS - EQUIPMENT</v>
          </cell>
          <cell r="C999">
            <v>5676.65</v>
          </cell>
        </row>
        <row r="1000">
          <cell r="A1000" t="str">
            <v>40096021</v>
          </cell>
          <cell r="B1000" t="str">
            <v>LEASE/RENTALS EQUIP - OR</v>
          </cell>
          <cell r="C1000">
            <v>13381.65</v>
          </cell>
        </row>
        <row r="1001">
          <cell r="A1001" t="str">
            <v>40096022</v>
          </cell>
          <cell r="B1001" t="str">
            <v>LEASE/RENTALS EQUIP-RECOVERY</v>
          </cell>
          <cell r="C1001">
            <v>5388.4</v>
          </cell>
        </row>
        <row r="1002">
          <cell r="A1002" t="str">
            <v>40096023</v>
          </cell>
          <cell r="B1002" t="str">
            <v>LEASE/RENTALS EQUIP-EMERG. SVC</v>
          </cell>
          <cell r="C1002">
            <v>25864.6</v>
          </cell>
        </row>
        <row r="1003">
          <cell r="A1003" t="str">
            <v>40096024</v>
          </cell>
          <cell r="B1003" t="str">
            <v>LEASE/RENTALS EQUIP-1DAY SURGY</v>
          </cell>
          <cell r="C1003">
            <v>1103.4000000000001</v>
          </cell>
        </row>
        <row r="1004">
          <cell r="A1004" t="str">
            <v>40096028</v>
          </cell>
          <cell r="B1004" t="str">
            <v>LEASE/RENTALS EQUIP-SPEC.PROC.</v>
          </cell>
          <cell r="C1004">
            <v>56940.53</v>
          </cell>
        </row>
        <row r="1005">
          <cell r="A1005" t="str">
            <v>40096029</v>
          </cell>
          <cell r="B1005" t="str">
            <v>LEASE/RENTAL EQUIP-SP SERVICES</v>
          </cell>
          <cell r="C1005">
            <v>4522.45</v>
          </cell>
        </row>
        <row r="1006">
          <cell r="A1006" t="str">
            <v>40096037</v>
          </cell>
          <cell r="B1006" t="str">
            <v>LEASE/RENTAL EQUIP/SURGICAL</v>
          </cell>
          <cell r="C1006">
            <v>698.54</v>
          </cell>
        </row>
        <row r="1007">
          <cell r="A1007" t="str">
            <v>40096041</v>
          </cell>
          <cell r="B1007" t="str">
            <v>LEASE/RENTALS EQUIP-LAB-CLIN</v>
          </cell>
          <cell r="C1007">
            <v>119.4</v>
          </cell>
        </row>
        <row r="1008">
          <cell r="A1008" t="str">
            <v>40096044</v>
          </cell>
          <cell r="B1008" t="str">
            <v>LEASE/RENTALS EQUIP-RADIOLOGY</v>
          </cell>
          <cell r="C1008">
            <v>9891.25</v>
          </cell>
        </row>
        <row r="1009">
          <cell r="A1009" t="str">
            <v>40096045</v>
          </cell>
          <cell r="B1009" t="str">
            <v>LEASE/RENTALS EQUIP-CAT SCAN</v>
          </cell>
          <cell r="C1009">
            <v>19448.560000000001</v>
          </cell>
        </row>
        <row r="1010">
          <cell r="A1010" t="str">
            <v>40096047</v>
          </cell>
          <cell r="B1010" t="str">
            <v>LEASE/RENTALS EQUIP-PHARMACY</v>
          </cell>
          <cell r="C1010">
            <v>23712.21</v>
          </cell>
        </row>
        <row r="1011">
          <cell r="A1011" t="str">
            <v>40096048</v>
          </cell>
          <cell r="B1011" t="str">
            <v>LEASE/RENTALS EQUIP-ANESTH</v>
          </cell>
          <cell r="C1011">
            <v>16153.85</v>
          </cell>
        </row>
        <row r="1012">
          <cell r="A1012" t="str">
            <v>40096049</v>
          </cell>
          <cell r="B1012" t="str">
            <v>LEASE/RENTALS EQUIP-PHY THPY</v>
          </cell>
          <cell r="C1012">
            <v>250.2</v>
          </cell>
        </row>
        <row r="1013">
          <cell r="A1013" t="str">
            <v>40096050</v>
          </cell>
          <cell r="B1013" t="str">
            <v>LEASE/RENTALS EQUIP-RESP THPY</v>
          </cell>
          <cell r="C1013">
            <v>431.85</v>
          </cell>
        </row>
        <row r="1014">
          <cell r="A1014" t="str">
            <v>40096055</v>
          </cell>
          <cell r="B1014" t="str">
            <v>LEASE/RENTALS EQUIP</v>
          </cell>
          <cell r="C1014">
            <v>76.45</v>
          </cell>
        </row>
        <row r="1015">
          <cell r="A1015" t="str">
            <v>40096057</v>
          </cell>
          <cell r="B1015" t="str">
            <v>LEASE/RENTALS EQUIP-MED REC</v>
          </cell>
          <cell r="C1015">
            <v>2592.5</v>
          </cell>
        </row>
        <row r="1016">
          <cell r="A1016" t="str">
            <v>40096060</v>
          </cell>
          <cell r="B1016" t="str">
            <v>LEASE/RENTALS EQUIP-ADM &amp; GEN</v>
          </cell>
          <cell r="C1016">
            <v>486.95</v>
          </cell>
        </row>
        <row r="1017">
          <cell r="A1017" t="str">
            <v>40096061</v>
          </cell>
          <cell r="B1017" t="str">
            <v>LEASE/RENTALS EQUIP-PERSONNEL</v>
          </cell>
          <cell r="C1017">
            <v>204.85</v>
          </cell>
        </row>
        <row r="1018">
          <cell r="A1018" t="str">
            <v>40096062</v>
          </cell>
          <cell r="B1018" t="str">
            <v>LEASE/RNTLS EQUIP - QA</v>
          </cell>
          <cell r="C1018">
            <v>742.95</v>
          </cell>
        </row>
        <row r="1019">
          <cell r="A1019" t="str">
            <v>40096063</v>
          </cell>
          <cell r="B1019" t="str">
            <v>LEASE/RENTALS EQUIP-COMMUCN</v>
          </cell>
          <cell r="C1019">
            <v>477.6</v>
          </cell>
        </row>
        <row r="1020">
          <cell r="A1020" t="str">
            <v>40096064</v>
          </cell>
          <cell r="B1020" t="str">
            <v>LEASE/RENTAL EQUIP-PUR STORE</v>
          </cell>
          <cell r="C1020">
            <v>3809</v>
          </cell>
        </row>
        <row r="1021">
          <cell r="A1021" t="str">
            <v>40096067</v>
          </cell>
          <cell r="B1021" t="str">
            <v>LEASE/RENTALS EQUIP-MAILROOM</v>
          </cell>
          <cell r="C1021">
            <v>3764.89</v>
          </cell>
        </row>
        <row r="1022">
          <cell r="A1022" t="str">
            <v>40096068</v>
          </cell>
          <cell r="B1022" t="str">
            <v>LEASE/RENTALS EQUIP-PRINTING</v>
          </cell>
          <cell r="C1022">
            <v>107642.69</v>
          </cell>
        </row>
        <row r="1023">
          <cell r="A1023" t="str">
            <v>40096073</v>
          </cell>
          <cell r="B1023" t="str">
            <v>LEASE/RENTALS EQUIP-SPFLD DAY</v>
          </cell>
          <cell r="C1023">
            <v>150.94999999999999</v>
          </cell>
        </row>
        <row r="1024">
          <cell r="A1024" t="str">
            <v>40096076</v>
          </cell>
          <cell r="B1024" t="str">
            <v>LEASE RENTALS-ED/HOSP WIDE</v>
          </cell>
          <cell r="C1024">
            <v>109.45</v>
          </cell>
        </row>
        <row r="1025">
          <cell r="A1025" t="str">
            <v>40096077</v>
          </cell>
          <cell r="B1025" t="str">
            <v>RENT/LEASE EQP-RMH-LABORATORY</v>
          </cell>
          <cell r="C1025">
            <v>3162</v>
          </cell>
        </row>
        <row r="1026">
          <cell r="A1026" t="str">
            <v>40096080</v>
          </cell>
          <cell r="B1026" t="str">
            <v>LEASE/RENTALS EQUIP-DIETARY SE</v>
          </cell>
          <cell r="C1026">
            <v>83.4</v>
          </cell>
        </row>
        <row r="1027">
          <cell r="A1027" t="str">
            <v>40096083</v>
          </cell>
          <cell r="B1027" t="str">
            <v>LEASE/RENTALS EQUIP-PLANT MAIN</v>
          </cell>
          <cell r="C1027">
            <v>857.35</v>
          </cell>
        </row>
        <row r="1028">
          <cell r="A1028" t="str">
            <v>40096085</v>
          </cell>
          <cell r="B1028" t="str">
            <v>LEASE/RENTALS EQUIP-HSKP SERV</v>
          </cell>
          <cell r="C1028">
            <v>583.79999999999995</v>
          </cell>
        </row>
        <row r="1029">
          <cell r="A1029" t="str">
            <v>40096091</v>
          </cell>
          <cell r="B1029" t="str">
            <v>LEASE/RENTALS EQUIP-DATA PROCE</v>
          </cell>
          <cell r="C1029">
            <v>547.25</v>
          </cell>
        </row>
        <row r="1030">
          <cell r="A1030" t="str">
            <v>40096096</v>
          </cell>
          <cell r="B1030" t="str">
            <v>LEASE/RENTAL EQUIP</v>
          </cell>
          <cell r="C1030">
            <v>1186.25</v>
          </cell>
        </row>
        <row r="1031">
          <cell r="A1031" t="str">
            <v>40099061</v>
          </cell>
          <cell r="B1031" t="str">
            <v>ADVERTISING-HR</v>
          </cell>
          <cell r="C1031">
            <v>29197.98</v>
          </cell>
        </row>
        <row r="1032">
          <cell r="A1032" t="str">
            <v>40099065</v>
          </cell>
          <cell r="B1032" t="str">
            <v>ADVERTISING-PUBLIC RELATIONS</v>
          </cell>
          <cell r="C1032">
            <v>60262.71</v>
          </cell>
        </row>
        <row r="1033">
          <cell r="A1033" t="str">
            <v>40101037</v>
          </cell>
          <cell r="B1033" t="str">
            <v>RECRUITMENT FEES</v>
          </cell>
          <cell r="C1033">
            <v>3990.12</v>
          </cell>
        </row>
        <row r="1034">
          <cell r="A1034" t="str">
            <v>40101047</v>
          </cell>
          <cell r="B1034" t="str">
            <v>RECRUITMENT FEES</v>
          </cell>
          <cell r="C1034">
            <v>272.3</v>
          </cell>
        </row>
        <row r="1035">
          <cell r="A1035" t="str">
            <v>40101060</v>
          </cell>
          <cell r="B1035" t="str">
            <v>RECRUITMENT FEES</v>
          </cell>
          <cell r="C1035">
            <v>50890.84</v>
          </cell>
        </row>
        <row r="1036">
          <cell r="A1036" t="str">
            <v>40101061</v>
          </cell>
          <cell r="B1036" t="str">
            <v>RECRUITMENT FEES</v>
          </cell>
          <cell r="C1036">
            <v>21868.9</v>
          </cell>
        </row>
        <row r="1037">
          <cell r="A1037" t="str">
            <v>40146002</v>
          </cell>
          <cell r="B1037" t="str">
            <v>NON CHARGEABLE INVENTORY</v>
          </cell>
          <cell r="C1037">
            <v>0</v>
          </cell>
        </row>
        <row r="1038">
          <cell r="A1038" t="str">
            <v>40146009</v>
          </cell>
          <cell r="B1038" t="str">
            <v>NON-CHARGEABLE MEDS-MED/SURG I</v>
          </cell>
          <cell r="C1038">
            <v>1535.44</v>
          </cell>
        </row>
        <row r="1039">
          <cell r="A1039" t="str">
            <v>40146013</v>
          </cell>
          <cell r="B1039" t="str">
            <v>NON-CHARGEABLE MEDS-OBSTETRICS</v>
          </cell>
          <cell r="C1039">
            <v>1395.38</v>
          </cell>
        </row>
        <row r="1040">
          <cell r="A1040" t="str">
            <v>40146015</v>
          </cell>
          <cell r="B1040" t="str">
            <v>NON CHARGEABLE INVENTORY</v>
          </cell>
          <cell r="C1040">
            <v>5.89</v>
          </cell>
        </row>
        <row r="1041">
          <cell r="A1041" t="str">
            <v>40146017</v>
          </cell>
          <cell r="B1041" t="str">
            <v>NON CHARGEABLE INVENTORY</v>
          </cell>
          <cell r="C1041">
            <v>166.79</v>
          </cell>
        </row>
        <row r="1042">
          <cell r="A1042" t="str">
            <v>40146021</v>
          </cell>
          <cell r="B1042" t="str">
            <v>NON-CHARGEABLE MEDS-SURGICAL S</v>
          </cell>
          <cell r="C1042">
            <v>3149.21</v>
          </cell>
        </row>
        <row r="1043">
          <cell r="A1043" t="str">
            <v>40146023</v>
          </cell>
          <cell r="B1043" t="str">
            <v>NON-CHARGEABLE MEDS-EMERGENCY</v>
          </cell>
          <cell r="C1043">
            <v>2588.44</v>
          </cell>
        </row>
        <row r="1044">
          <cell r="A1044" t="str">
            <v>40146024</v>
          </cell>
          <cell r="B1044" t="str">
            <v>NON-CHARGEABLE MEDS-ONE DAY</v>
          </cell>
          <cell r="C1044">
            <v>9.8800000000000008</v>
          </cell>
        </row>
        <row r="1045">
          <cell r="A1045" t="str">
            <v>40146025</v>
          </cell>
          <cell r="B1045" t="str">
            <v>NON CHARGEABLE</v>
          </cell>
          <cell r="C1045">
            <v>0</v>
          </cell>
        </row>
        <row r="1046">
          <cell r="A1046" t="str">
            <v>40146028</v>
          </cell>
          <cell r="B1046" t="str">
            <v>NON-CHARGEABLE MEDS-SPEC PROC</v>
          </cell>
          <cell r="C1046">
            <v>43.41</v>
          </cell>
        </row>
        <row r="1047">
          <cell r="A1047" t="str">
            <v>40146029</v>
          </cell>
          <cell r="B1047" t="str">
            <v>NON-CHARGEABLE MEDS-SPEC SERVI</v>
          </cell>
          <cell r="C1047">
            <v>53.15</v>
          </cell>
        </row>
        <row r="1048">
          <cell r="A1048" t="str">
            <v>40146037</v>
          </cell>
          <cell r="B1048" t="str">
            <v>NON CHARGEABLE INVENTORY</v>
          </cell>
          <cell r="C1048">
            <v>12.15</v>
          </cell>
        </row>
        <row r="1049">
          <cell r="A1049" t="str">
            <v>40146041</v>
          </cell>
          <cell r="B1049" t="str">
            <v>NON-CHARGE ITEMS-LAB, DIAGNOS</v>
          </cell>
          <cell r="C1049">
            <v>21.35</v>
          </cell>
        </row>
        <row r="1050">
          <cell r="A1050" t="str">
            <v>40146044</v>
          </cell>
          <cell r="B1050" t="str">
            <v>NON-CHARGEABLE MEDS-RADIOLOGY</v>
          </cell>
          <cell r="C1050">
            <v>34.94</v>
          </cell>
        </row>
        <row r="1051">
          <cell r="A1051" t="str">
            <v>40146047</v>
          </cell>
          <cell r="B1051" t="str">
            <v>PHARMACEUTICAL-NO CHARGE</v>
          </cell>
          <cell r="C1051">
            <v>20485</v>
          </cell>
        </row>
        <row r="1052">
          <cell r="A1052" t="str">
            <v>40146048</v>
          </cell>
          <cell r="B1052" t="str">
            <v>NON-CHARGEABLE MEDS-ANESTHESIO</v>
          </cell>
          <cell r="C1052">
            <v>55.74</v>
          </cell>
        </row>
        <row r="1053">
          <cell r="A1053" t="str">
            <v>50001000</v>
          </cell>
          <cell r="B1053" t="str">
            <v>CHARITY UNCOMP.CARE - I/P</v>
          </cell>
          <cell r="C1053">
            <v>245278.27</v>
          </cell>
        </row>
        <row r="1054">
          <cell r="A1054" t="str">
            <v>50001001</v>
          </cell>
          <cell r="B1054" t="str">
            <v>CHARITY UNCOMP CARE-RMH-I/P</v>
          </cell>
          <cell r="C1054">
            <v>146143.85</v>
          </cell>
        </row>
        <row r="1055">
          <cell r="A1055" t="str">
            <v>50011000</v>
          </cell>
          <cell r="B1055" t="str">
            <v>CHARITY UNCOMP.CARE - O/P</v>
          </cell>
          <cell r="C1055">
            <v>2440835.0499999998</v>
          </cell>
        </row>
        <row r="1056">
          <cell r="A1056" t="str">
            <v>50011015</v>
          </cell>
          <cell r="B1056" t="str">
            <v>CHARITY SERVICES-O/P/ENT</v>
          </cell>
          <cell r="C1056">
            <v>15271.83</v>
          </cell>
        </row>
        <row r="1057">
          <cell r="A1057" t="str">
            <v>50011017</v>
          </cell>
          <cell r="B1057" t="str">
            <v>CHARITY SERVICES-O/P</v>
          </cell>
          <cell r="C1057">
            <v>38738.46</v>
          </cell>
        </row>
        <row r="1058">
          <cell r="A1058" t="str">
            <v>50011037</v>
          </cell>
          <cell r="B1058" t="str">
            <v>CHARITY CARE</v>
          </cell>
          <cell r="C1058">
            <v>39372.11</v>
          </cell>
        </row>
        <row r="1059">
          <cell r="A1059" t="str">
            <v>50011058</v>
          </cell>
          <cell r="B1059" t="str">
            <v>CHARITY SERVICES-ANES PHYS</v>
          </cell>
          <cell r="C1059">
            <v>22701.19</v>
          </cell>
        </row>
        <row r="1060">
          <cell r="A1060" t="str">
            <v>50011096</v>
          </cell>
          <cell r="B1060" t="str">
            <v>CHARITY CARE - HOSPITALIST</v>
          </cell>
          <cell r="C1060">
            <v>13550.27</v>
          </cell>
        </row>
        <row r="1061">
          <cell r="A1061" t="str">
            <v>50101000</v>
          </cell>
          <cell r="B1061" t="str">
            <v>CONTRACTUAL ADJ - BC I/P</v>
          </cell>
          <cell r="C1061">
            <v>924702.78</v>
          </cell>
        </row>
        <row r="1062">
          <cell r="A1062" t="str">
            <v>50101001</v>
          </cell>
          <cell r="B1062" t="str">
            <v>CONTRCTL ADJ-RMH-B/C-I/P</v>
          </cell>
          <cell r="C1062">
            <v>19602.47</v>
          </cell>
        </row>
        <row r="1063">
          <cell r="A1063" t="str">
            <v>50102000</v>
          </cell>
          <cell r="B1063" t="str">
            <v>CONTRACTUAL ADJ - MCARE - I/P</v>
          </cell>
          <cell r="C1063">
            <v>7358845.7000000002</v>
          </cell>
        </row>
        <row r="1064">
          <cell r="A1064" t="str">
            <v>50102001</v>
          </cell>
          <cell r="B1064" t="str">
            <v>CONTRCTL ADJ-RMH-MCARE-I/P</v>
          </cell>
          <cell r="C1064">
            <v>336709.67</v>
          </cell>
        </row>
        <row r="1065">
          <cell r="A1065" t="str">
            <v>50103000</v>
          </cell>
          <cell r="B1065" t="str">
            <v>CONTRACTUAL ADJ - MCAID I/P</v>
          </cell>
          <cell r="C1065">
            <v>1732126.38</v>
          </cell>
        </row>
        <row r="1066">
          <cell r="A1066" t="str">
            <v>50103001</v>
          </cell>
          <cell r="B1066" t="str">
            <v>CONTRCTL ADJ-RMH-MCAID-I/P</v>
          </cell>
          <cell r="C1066">
            <v>8080.32</v>
          </cell>
        </row>
        <row r="1067">
          <cell r="A1067" t="str">
            <v>50104000</v>
          </cell>
          <cell r="B1067" t="str">
            <v>CONTRACTUAL ADJ CHP INS  I/P</v>
          </cell>
          <cell r="C1067">
            <v>8609.01</v>
          </cell>
        </row>
        <row r="1068">
          <cell r="A1068" t="str">
            <v>50107000</v>
          </cell>
          <cell r="B1068" t="str">
            <v>CONTRACTUAL ADJ - COMM I/P</v>
          </cell>
          <cell r="C1068">
            <v>317373.83</v>
          </cell>
        </row>
        <row r="1069">
          <cell r="A1069" t="str">
            <v>50107001</v>
          </cell>
          <cell r="B1069" t="str">
            <v>CONTRACTUAL ADJ -BF COMM I/P</v>
          </cell>
          <cell r="C1069">
            <v>34903.99</v>
          </cell>
        </row>
        <row r="1070">
          <cell r="A1070" t="str">
            <v>50108000</v>
          </cell>
          <cell r="B1070" t="str">
            <v>CONTRACT ADJ. W/C  I/P</v>
          </cell>
          <cell r="C1070">
            <v>179987.74</v>
          </cell>
        </row>
        <row r="1071">
          <cell r="A1071" t="str">
            <v>50109000</v>
          </cell>
          <cell r="B1071" t="str">
            <v>CONTRACT ADJ.-LOST CHGS INPT</v>
          </cell>
          <cell r="C1071">
            <v>59980.09</v>
          </cell>
        </row>
        <row r="1072">
          <cell r="A1072" t="str">
            <v>50111000</v>
          </cell>
          <cell r="B1072" t="str">
            <v>CONTRACTUAL ADJ BC OUTPATIENTS</v>
          </cell>
          <cell r="C1072">
            <v>2649958.0699999998</v>
          </cell>
        </row>
        <row r="1073">
          <cell r="A1073" t="str">
            <v>50112000</v>
          </cell>
          <cell r="B1073" t="str">
            <v>CONTRACTUAL ADJ-MEDICARE O/P</v>
          </cell>
          <cell r="C1073">
            <v>18643383.859999999</v>
          </cell>
        </row>
        <row r="1074">
          <cell r="A1074" t="str">
            <v>50112015</v>
          </cell>
          <cell r="B1074" t="str">
            <v>CONTRACT ADJ-MEDICARE - ENT</v>
          </cell>
          <cell r="C1074">
            <v>291377</v>
          </cell>
        </row>
        <row r="1075">
          <cell r="A1075" t="str">
            <v>50112017</v>
          </cell>
          <cell r="B1075" t="str">
            <v>CONTRACT ADJ</v>
          </cell>
          <cell r="C1075">
            <v>2090554.2</v>
          </cell>
        </row>
        <row r="1076">
          <cell r="A1076" t="str">
            <v>50112025</v>
          </cell>
          <cell r="B1076" t="str">
            <v>CONTRACTUAL ADJ - UROLOGY</v>
          </cell>
          <cell r="C1076">
            <v>0</v>
          </cell>
        </row>
        <row r="1077">
          <cell r="A1077" t="str">
            <v>50112037</v>
          </cell>
          <cell r="B1077" t="str">
            <v>CONTRACTUAL ADJ</v>
          </cell>
          <cell r="C1077">
            <v>1199752.42</v>
          </cell>
        </row>
        <row r="1078">
          <cell r="A1078" t="str">
            <v>50112058</v>
          </cell>
          <cell r="B1078" t="str">
            <v>C/A MEDICARE - ANES PHYS</v>
          </cell>
          <cell r="C1078">
            <v>331659.18</v>
          </cell>
        </row>
        <row r="1079">
          <cell r="A1079" t="str">
            <v>50112096</v>
          </cell>
          <cell r="B1079" t="str">
            <v>CONTRACTUAL ADJ - HOSPITALIST</v>
          </cell>
          <cell r="C1079">
            <v>400565.78</v>
          </cell>
        </row>
        <row r="1080">
          <cell r="A1080" t="str">
            <v>50113000</v>
          </cell>
          <cell r="B1080" t="str">
            <v>CONTRACTUAL ADJ - MEDICAID O/P</v>
          </cell>
          <cell r="C1080">
            <v>11454574.77</v>
          </cell>
        </row>
        <row r="1081">
          <cell r="A1081" t="str">
            <v>50116000</v>
          </cell>
          <cell r="B1081" t="str">
            <v>CONTRACTUAL ADJ-CBA OUTPATIENT</v>
          </cell>
          <cell r="C1081">
            <v>294021.74</v>
          </cell>
        </row>
        <row r="1082">
          <cell r="A1082" t="str">
            <v>50117000</v>
          </cell>
          <cell r="B1082" t="str">
            <v>CONTRACTUAL ADJ - COMM O/P</v>
          </cell>
          <cell r="C1082">
            <v>1631334.52</v>
          </cell>
        </row>
        <row r="1083">
          <cell r="A1083" t="str">
            <v>50118000</v>
          </cell>
          <cell r="B1083" t="str">
            <v>CONTRACT ADJ. W/C  O/P</v>
          </cell>
          <cell r="C1083">
            <v>669.58</v>
          </cell>
        </row>
        <row r="1084">
          <cell r="A1084" t="str">
            <v>50119000</v>
          </cell>
          <cell r="B1084" t="str">
            <v>CONTRACT ADJ. - LOST CHGS O/P</v>
          </cell>
          <cell r="C1084">
            <v>440594.76</v>
          </cell>
        </row>
        <row r="1085">
          <cell r="A1085" t="str">
            <v>50165000</v>
          </cell>
          <cell r="B1085" t="str">
            <v>CONTR ADJUSTMENT-CHAMPUS OP</v>
          </cell>
          <cell r="C1085">
            <v>25230.3</v>
          </cell>
        </row>
        <row r="1086">
          <cell r="A1086" t="str">
            <v>50201000</v>
          </cell>
          <cell r="B1086" t="str">
            <v>PROF POLICY DISC.I/P</v>
          </cell>
          <cell r="C1086">
            <v>-22080.39</v>
          </cell>
        </row>
        <row r="1087">
          <cell r="A1087" t="str">
            <v>50206000</v>
          </cell>
          <cell r="B1087" t="str">
            <v>PROF POLICY DISC. O/P</v>
          </cell>
          <cell r="C1087">
            <v>69143.78</v>
          </cell>
        </row>
        <row r="1088">
          <cell r="A1088" t="str">
            <v>50231000</v>
          </cell>
          <cell r="B1088" t="str">
            <v>WRITE OFF IMMATERIAL BAL. I/P</v>
          </cell>
          <cell r="C1088">
            <v>25.67</v>
          </cell>
        </row>
        <row r="1089">
          <cell r="A1089" t="str">
            <v>50231001</v>
          </cell>
          <cell r="B1089" t="str">
            <v>WRITE-OFF IMMAT BAL-B.F.-I/P</v>
          </cell>
          <cell r="C1089">
            <v>12.5</v>
          </cell>
        </row>
        <row r="1090">
          <cell r="A1090" t="str">
            <v>50236000</v>
          </cell>
          <cell r="B1090" t="str">
            <v>WRITE OFF IMMATERIAL BAL. O/P</v>
          </cell>
          <cell r="C1090">
            <v>14812.22</v>
          </cell>
        </row>
        <row r="1091">
          <cell r="A1091" t="str">
            <v>50236001</v>
          </cell>
          <cell r="B1091" t="str">
            <v>WRITE-OFF IMMATRL BAL-RMH-O/P</v>
          </cell>
          <cell r="C1091">
            <v>3</v>
          </cell>
        </row>
        <row r="1092">
          <cell r="A1092" t="str">
            <v>50281000</v>
          </cell>
          <cell r="B1092" t="str">
            <v>PROV FOR DOUBT ACCTS - I/P</v>
          </cell>
          <cell r="C1092">
            <v>241670</v>
          </cell>
        </row>
        <row r="1093">
          <cell r="A1093" t="str">
            <v>50281001</v>
          </cell>
          <cell r="B1093" t="str">
            <v>PROV DOUBT ACCT-RMH- I/P</v>
          </cell>
          <cell r="C1093">
            <v>453730.99</v>
          </cell>
        </row>
        <row r="1094">
          <cell r="A1094" t="str">
            <v>50282000</v>
          </cell>
          <cell r="B1094" t="str">
            <v>PROV FOR DOUBT ACCTS - O/P</v>
          </cell>
          <cell r="C1094">
            <v>3077638</v>
          </cell>
        </row>
        <row r="1095">
          <cell r="A1095" t="str">
            <v>50282001</v>
          </cell>
          <cell r="B1095" t="str">
            <v>PROV DOUBT ACCT-RMH- O/P</v>
          </cell>
          <cell r="C1095">
            <v>781185</v>
          </cell>
        </row>
        <row r="1096">
          <cell r="A1096" t="str">
            <v>50286015</v>
          </cell>
          <cell r="B1096" t="str">
            <v>BAD DEBT EXPENSE - ENT</v>
          </cell>
          <cell r="C1096">
            <v>14466.38</v>
          </cell>
        </row>
        <row r="1097">
          <cell r="A1097" t="str">
            <v>50286017</v>
          </cell>
          <cell r="B1097" t="str">
            <v>BAD DEBT EXP</v>
          </cell>
          <cell r="C1097">
            <v>62993.09</v>
          </cell>
        </row>
        <row r="1098">
          <cell r="A1098" t="str">
            <v>50286037</v>
          </cell>
          <cell r="B1098" t="str">
            <v>BAD DEBT EXP</v>
          </cell>
          <cell r="C1098">
            <v>31400.6</v>
          </cell>
        </row>
        <row r="1099">
          <cell r="A1099" t="str">
            <v>50286058</v>
          </cell>
          <cell r="B1099" t="str">
            <v>BAD DEBT EXP - ANES PHYS</v>
          </cell>
          <cell r="C1099">
            <v>22617.3</v>
          </cell>
        </row>
        <row r="1100">
          <cell r="A1100" t="str">
            <v>50286096</v>
          </cell>
          <cell r="B1100" t="str">
            <v>BAD DEBT - HOSPITALIST</v>
          </cell>
          <cell r="C1100">
            <v>19130.54</v>
          </cell>
        </row>
        <row r="1101">
          <cell r="A1101" t="str">
            <v>50295000</v>
          </cell>
          <cell r="B1101" t="str">
            <v>NET BAD DEBT RECOVERY SELF PAY</v>
          </cell>
          <cell r="C1101">
            <v>-626367.88</v>
          </cell>
        </row>
        <row r="1102">
          <cell r="A1102" t="str">
            <v>50295001</v>
          </cell>
          <cell r="B1102" t="str">
            <v>NET BAD DBT RECOVERY-RMH-SLFPY</v>
          </cell>
          <cell r="C1102">
            <v>-21455.79</v>
          </cell>
        </row>
        <row r="1103">
          <cell r="A1103" t="str">
            <v>50300000</v>
          </cell>
          <cell r="B1103" t="str">
            <v>CAFETERIA SALES</v>
          </cell>
          <cell r="C1103">
            <v>-141144.46</v>
          </cell>
        </row>
        <row r="1104">
          <cell r="A1104" t="str">
            <v>50300053</v>
          </cell>
          <cell r="B1104" t="str">
            <v>CAFETERIA REVENUE-BF</v>
          </cell>
          <cell r="C1104">
            <v>-8447.5</v>
          </cell>
        </row>
        <row r="1105">
          <cell r="A1105" t="str">
            <v>50330073</v>
          </cell>
          <cell r="B1105" t="str">
            <v>SPFLD ADULT DAYCARE REVENUE</v>
          </cell>
          <cell r="C1105">
            <v>-1523297.32</v>
          </cell>
        </row>
        <row r="1106">
          <cell r="A1106" t="str">
            <v>50330076</v>
          </cell>
          <cell r="B1106" t="str">
            <v>EDUCATION REVENUE</v>
          </cell>
          <cell r="C1106">
            <v>-2865</v>
          </cell>
        </row>
        <row r="1107">
          <cell r="A1107" t="str">
            <v>50360000</v>
          </cell>
          <cell r="B1107" t="str">
            <v>COPY SERVICE</v>
          </cell>
          <cell r="C1107">
            <v>-1544.51</v>
          </cell>
        </row>
        <row r="1108">
          <cell r="A1108" t="str">
            <v>50390000</v>
          </cell>
          <cell r="B1108" t="str">
            <v>CASH DISCOUNT ON PURCHASES</v>
          </cell>
          <cell r="C1108">
            <v>-1590.35</v>
          </cell>
        </row>
        <row r="1109">
          <cell r="A1109" t="str">
            <v>50440000</v>
          </cell>
          <cell r="B1109" t="str">
            <v>OTHER INCOME</v>
          </cell>
          <cell r="C1109">
            <v>-153683.82999999999</v>
          </cell>
        </row>
        <row r="1110">
          <cell r="A1110" t="str">
            <v>50605000</v>
          </cell>
          <cell r="B1110" t="str">
            <v>TEMP RESTR N.A. RELEASES-EXP</v>
          </cell>
          <cell r="C1110">
            <v>-30563.040000000001</v>
          </cell>
        </row>
        <row r="1111">
          <cell r="A1111" t="str">
            <v>50606000</v>
          </cell>
          <cell r="B1111" t="str">
            <v>TEMP RESTR N.A. RELEASES-CAPTL</v>
          </cell>
          <cell r="C1111">
            <v>-80267.11</v>
          </cell>
        </row>
        <row r="1112">
          <cell r="A1112" t="str">
            <v>50610000</v>
          </cell>
          <cell r="B1112" t="str">
            <v>DONATIONS - UNRESTRICTED</v>
          </cell>
          <cell r="C1112">
            <v>-47387.49</v>
          </cell>
        </row>
        <row r="1113">
          <cell r="A1113" t="str">
            <v>50715000</v>
          </cell>
          <cell r="B1113" t="str">
            <v>INTEREST INCOME - BANK/OTHER</v>
          </cell>
          <cell r="C1113">
            <v>-5149.75</v>
          </cell>
        </row>
        <row r="1114">
          <cell r="A1114" t="str">
            <v>50720000</v>
          </cell>
          <cell r="B1114" t="str">
            <v>INT &amp; DIV ON INVESTMENTS</v>
          </cell>
          <cell r="C1114">
            <v>-237476.08</v>
          </cell>
        </row>
        <row r="1115">
          <cell r="A1115" t="str">
            <v>50735000</v>
          </cell>
          <cell r="B1115" t="str">
            <v>UNREALIZED GAIN ON INVESTMENTS</v>
          </cell>
          <cell r="C1115">
            <v>-351796.18</v>
          </cell>
        </row>
        <row r="1116">
          <cell r="A1116" t="str">
            <v>50771000</v>
          </cell>
          <cell r="B1116" t="str">
            <v>REALIZED CAPITAL GAIN ON INV.</v>
          </cell>
          <cell r="C1116">
            <v>-816130.34</v>
          </cell>
        </row>
        <row r="1117">
          <cell r="A1117" t="str">
            <v>50772000</v>
          </cell>
          <cell r="B1117" t="str">
            <v>UNRECOGNIZED PENSION EXPENSE</v>
          </cell>
          <cell r="C1117">
            <v>-207945</v>
          </cell>
        </row>
        <row r="1118">
          <cell r="A1118" t="str">
            <v>50774000</v>
          </cell>
          <cell r="B1118" t="str">
            <v>DISPROPORTIONATE SHARE PMTS</v>
          </cell>
          <cell r="C1118">
            <v>-1682709.81</v>
          </cell>
        </row>
        <row r="1119">
          <cell r="A1119" t="str">
            <v>50775000</v>
          </cell>
          <cell r="B1119" t="str">
            <v>PROVIDER TAX</v>
          </cell>
          <cell r="C1119">
            <v>2960223.05</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82F7A-2E25-4EC8-B0CF-681785417AD5}">
  <sheetPr>
    <tabColor theme="0" tint="-4.9989318521683403E-2"/>
  </sheetPr>
  <dimension ref="A1:C17"/>
  <sheetViews>
    <sheetView workbookViewId="0">
      <selection activeCell="B18" sqref="B18"/>
    </sheetView>
  </sheetViews>
  <sheetFormatPr defaultRowHeight="15" x14ac:dyDescent="0.25"/>
  <cols>
    <col min="1" max="1" width="16.28515625" customWidth="1"/>
    <col min="2" max="2" width="66.7109375" style="26" customWidth="1"/>
    <col min="3" max="3" width="17.42578125" customWidth="1"/>
  </cols>
  <sheetData>
    <row r="1" spans="1:3" ht="18.75" x14ac:dyDescent="0.3">
      <c r="A1" s="769" t="s">
        <v>0</v>
      </c>
      <c r="B1" s="769"/>
    </row>
    <row r="2" spans="1:3" x14ac:dyDescent="0.25">
      <c r="A2" s="770" t="s">
        <v>1</v>
      </c>
      <c r="B2" s="770"/>
    </row>
    <row r="3" spans="1:3" ht="166.9" customHeight="1" x14ac:dyDescent="0.25">
      <c r="A3" s="768" t="s">
        <v>216</v>
      </c>
      <c r="B3" s="768"/>
    </row>
    <row r="4" spans="1:3" x14ac:dyDescent="0.25">
      <c r="B4" s="45"/>
    </row>
    <row r="5" spans="1:3" ht="15.75" x14ac:dyDescent="0.25">
      <c r="A5" s="110" t="s">
        <v>2</v>
      </c>
      <c r="B5" s="25" t="s">
        <v>3</v>
      </c>
      <c r="C5" s="44"/>
    </row>
    <row r="6" spans="1:3" ht="15.75" x14ac:dyDescent="0.25">
      <c r="A6" s="110" t="s">
        <v>2</v>
      </c>
      <c r="B6" s="44" t="s">
        <v>4</v>
      </c>
      <c r="C6" s="44"/>
    </row>
    <row r="7" spans="1:3" ht="15.75" x14ac:dyDescent="0.25">
      <c r="A7" s="109" t="s">
        <v>5</v>
      </c>
      <c r="B7" s="44" t="s">
        <v>6</v>
      </c>
      <c r="C7" s="44"/>
    </row>
    <row r="8" spans="1:3" ht="15.75" x14ac:dyDescent="0.25">
      <c r="A8" s="110" t="s">
        <v>2</v>
      </c>
      <c r="B8" s="25" t="s">
        <v>7</v>
      </c>
      <c r="C8" s="44"/>
    </row>
    <row r="9" spans="1:3" ht="15.75" x14ac:dyDescent="0.25">
      <c r="A9" s="110" t="s">
        <v>2</v>
      </c>
      <c r="B9" s="25" t="s">
        <v>8</v>
      </c>
      <c r="C9" s="44"/>
    </row>
    <row r="10" spans="1:3" ht="15.75" x14ac:dyDescent="0.25">
      <c r="A10" s="110" t="s">
        <v>2</v>
      </c>
      <c r="B10" s="25" t="s">
        <v>9</v>
      </c>
      <c r="C10" s="44"/>
    </row>
    <row r="11" spans="1:3" ht="15.75" x14ac:dyDescent="0.25">
      <c r="A11" s="110" t="s">
        <v>2</v>
      </c>
      <c r="B11" s="25" t="s">
        <v>10</v>
      </c>
      <c r="C11" s="44"/>
    </row>
    <row r="12" spans="1:3" ht="15.75" x14ac:dyDescent="0.25">
      <c r="A12" s="110" t="s">
        <v>2</v>
      </c>
      <c r="B12" s="44" t="s">
        <v>11</v>
      </c>
      <c r="C12" s="44"/>
    </row>
    <row r="13" spans="1:3" x14ac:dyDescent="0.25">
      <c r="C13" s="27"/>
    </row>
    <row r="14" spans="1:3" x14ac:dyDescent="0.25">
      <c r="C14" s="27"/>
    </row>
    <row r="15" spans="1:3" x14ac:dyDescent="0.25">
      <c r="C15" s="27"/>
    </row>
    <row r="17" spans="2:2" x14ac:dyDescent="0.25">
      <c r="B17" s="26" t="s">
        <v>416</v>
      </c>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7DD81-7C75-4881-A377-7DA128E786DE}">
  <sheetPr>
    <tabColor rgb="FFFFC000"/>
    <pageSetUpPr fitToPage="1"/>
  </sheetPr>
  <dimension ref="A1:G80"/>
  <sheetViews>
    <sheetView showGridLines="0" topLeftCell="A13" zoomScale="50" zoomScaleNormal="50" zoomScaleSheetLayoutView="30" workbookViewId="0">
      <selection activeCell="D36" sqref="D36"/>
    </sheetView>
  </sheetViews>
  <sheetFormatPr defaultColWidth="9.140625" defaultRowHeight="15" outlineLevelRow="1" x14ac:dyDescent="0.25"/>
  <cols>
    <col min="1" max="1" width="1.5703125" style="196" customWidth="1"/>
    <col min="2" max="2" width="113.5703125" style="197" customWidth="1"/>
    <col min="3" max="3" width="59.85546875" style="197" customWidth="1"/>
    <col min="4" max="4" width="59.85546875" style="21" customWidth="1"/>
    <col min="5" max="5" width="9.140625" style="21"/>
    <col min="6" max="6" width="19.28515625" style="21" bestFit="1" customWidth="1"/>
    <col min="7" max="16384" width="9.140625" style="21"/>
  </cols>
  <sheetData>
    <row r="1" spans="1:6" s="113" customFormat="1" x14ac:dyDescent="0.25">
      <c r="A1" s="112"/>
    </row>
    <row r="2" spans="1:6" s="1" customFormat="1" ht="31.5" x14ac:dyDescent="0.5">
      <c r="B2" s="834" t="s">
        <v>124</v>
      </c>
      <c r="C2" s="834"/>
      <c r="D2" s="834"/>
      <c r="E2" s="211"/>
      <c r="F2" s="211"/>
    </row>
    <row r="3" spans="1:6" s="1" customFormat="1" ht="31.5" x14ac:dyDescent="0.5">
      <c r="B3" s="831" t="s">
        <v>2</v>
      </c>
      <c r="C3" s="832"/>
      <c r="D3" s="833"/>
      <c r="E3" s="115"/>
      <c r="F3" s="115"/>
    </row>
    <row r="4" spans="1:6" s="1" customFormat="1" ht="31.5" x14ac:dyDescent="0.5">
      <c r="B4" s="835" t="s">
        <v>125</v>
      </c>
      <c r="C4" s="836"/>
      <c r="D4" s="837"/>
    </row>
    <row r="5" spans="1:6" s="63" customFormat="1" ht="18.75" x14ac:dyDescent="0.3">
      <c r="B5" s="210"/>
      <c r="C5" s="210"/>
      <c r="D5" s="210"/>
      <c r="E5" s="210"/>
      <c r="F5" s="210"/>
    </row>
    <row r="6" spans="1:6" s="63" customFormat="1" ht="18.75" x14ac:dyDescent="0.3">
      <c r="B6" s="210"/>
      <c r="C6" s="210"/>
      <c r="D6" s="210"/>
      <c r="E6" s="210"/>
      <c r="F6" s="210"/>
    </row>
    <row r="7" spans="1:6" s="115" customFormat="1" ht="80.45" customHeight="1" x14ac:dyDescent="0.5">
      <c r="A7" s="114"/>
      <c r="B7" s="826" t="s">
        <v>299</v>
      </c>
      <c r="C7" s="827"/>
      <c r="D7" s="828"/>
    </row>
    <row r="8" spans="1:6" s="119" customFormat="1" ht="31.5" x14ac:dyDescent="0.5">
      <c r="A8" s="116"/>
      <c r="B8" s="117"/>
      <c r="C8" s="203"/>
      <c r="D8" s="118"/>
    </row>
    <row r="9" spans="1:6" s="115" customFormat="1" ht="48" customHeight="1" x14ac:dyDescent="0.5">
      <c r="A9" s="114"/>
      <c r="B9" s="120" t="s">
        <v>126</v>
      </c>
      <c r="C9" s="204"/>
      <c r="D9" s="206"/>
    </row>
    <row r="10" spans="1:6" s="122" customFormat="1" ht="15.75" customHeight="1" x14ac:dyDescent="0.4">
      <c r="A10" s="121"/>
      <c r="B10" s="829"/>
      <c r="C10" s="830"/>
      <c r="D10" s="830"/>
    </row>
    <row r="11" spans="1:6" s="122" customFormat="1" ht="64.150000000000006" customHeight="1" x14ac:dyDescent="0.4">
      <c r="A11" s="121"/>
      <c r="B11" s="250"/>
      <c r="C11" s="251"/>
      <c r="D11" s="331" t="s">
        <v>293</v>
      </c>
    </row>
    <row r="12" spans="1:6" s="126" customFormat="1" ht="11.25" customHeight="1" x14ac:dyDescent="0.4">
      <c r="A12" s="123"/>
      <c r="B12" s="124"/>
      <c r="C12" s="205"/>
      <c r="D12" s="125"/>
    </row>
    <row r="13" spans="1:6" s="131" customFormat="1" ht="104.25" customHeight="1" x14ac:dyDescent="0.25">
      <c r="A13" s="127"/>
      <c r="B13" s="128" t="s">
        <v>127</v>
      </c>
      <c r="C13" s="129" t="s">
        <v>128</v>
      </c>
      <c r="D13" s="129" t="s">
        <v>129</v>
      </c>
      <c r="E13" s="130"/>
    </row>
    <row r="14" spans="1:6" s="119" customFormat="1" ht="31.5" x14ac:dyDescent="0.5">
      <c r="A14" s="132"/>
      <c r="B14" s="133" t="s">
        <v>130</v>
      </c>
      <c r="C14" s="134"/>
      <c r="D14" s="135"/>
    </row>
    <row r="15" spans="1:6" s="115" customFormat="1" ht="30" hidden="1" customHeight="1" x14ac:dyDescent="0.5">
      <c r="A15" s="136"/>
      <c r="B15" s="137" t="s">
        <v>131</v>
      </c>
      <c r="C15" s="138"/>
      <c r="D15" s="139"/>
      <c r="E15" s="140"/>
    </row>
    <row r="16" spans="1:6" s="119" customFormat="1" ht="30" hidden="1" customHeight="1" x14ac:dyDescent="0.5">
      <c r="A16" s="132"/>
      <c r="B16" s="141" t="s">
        <v>132</v>
      </c>
      <c r="C16" s="142"/>
      <c r="D16" s="143"/>
      <c r="E16" s="144"/>
    </row>
    <row r="17" spans="1:7" s="119" customFormat="1" ht="30" hidden="1" customHeight="1" x14ac:dyDescent="0.5">
      <c r="A17" s="132"/>
      <c r="B17" s="145" t="s">
        <v>133</v>
      </c>
      <c r="C17" s="142"/>
      <c r="D17" s="143"/>
      <c r="E17" s="144"/>
    </row>
    <row r="18" spans="1:7" s="119" customFormat="1" ht="30" hidden="1" customHeight="1" x14ac:dyDescent="0.5">
      <c r="A18" s="132"/>
      <c r="B18" s="141" t="s">
        <v>134</v>
      </c>
      <c r="C18" s="142"/>
      <c r="D18" s="143"/>
      <c r="E18" s="144"/>
    </row>
    <row r="19" spans="1:7" s="119" customFormat="1" ht="30" hidden="1" customHeight="1" x14ac:dyDescent="0.5">
      <c r="A19" s="132"/>
      <c r="B19" s="141" t="s">
        <v>135</v>
      </c>
      <c r="C19" s="142"/>
      <c r="D19" s="143"/>
      <c r="E19" s="144"/>
    </row>
    <row r="20" spans="1:7" s="119" customFormat="1" ht="30" hidden="1" customHeight="1" x14ac:dyDescent="0.5">
      <c r="A20" s="132"/>
      <c r="B20" s="141" t="s">
        <v>136</v>
      </c>
      <c r="C20" s="142"/>
      <c r="D20" s="143"/>
      <c r="E20" s="144"/>
    </row>
    <row r="21" spans="1:7" s="115" customFormat="1" ht="30" customHeight="1" x14ac:dyDescent="0.5">
      <c r="A21" s="136"/>
      <c r="B21" s="146" t="s">
        <v>137</v>
      </c>
      <c r="C21" s="147">
        <f>+F21/8*12*0.5</f>
        <v>108853.5</v>
      </c>
      <c r="D21" s="147">
        <v>0</v>
      </c>
      <c r="E21" s="140"/>
      <c r="F21" s="115">
        <v>145138</v>
      </c>
      <c r="G21" s="115" t="s">
        <v>292</v>
      </c>
    </row>
    <row r="22" spans="1:7" s="119" customFormat="1" ht="30" customHeight="1" x14ac:dyDescent="0.5">
      <c r="A22" s="132"/>
      <c r="B22" s="148" t="s">
        <v>138</v>
      </c>
      <c r="C22" s="147"/>
      <c r="D22" s="149">
        <v>0</v>
      </c>
      <c r="E22" s="140"/>
    </row>
    <row r="23" spans="1:7" s="115" customFormat="1" ht="30" customHeight="1" x14ac:dyDescent="0.5">
      <c r="A23" s="136"/>
      <c r="B23" s="133" t="s">
        <v>139</v>
      </c>
      <c r="C23" s="150">
        <f>SUM(C21:C22)</f>
        <v>108853.5</v>
      </c>
      <c r="D23" s="150">
        <f>SUM(D21:D22)</f>
        <v>0</v>
      </c>
      <c r="E23" s="140"/>
    </row>
    <row r="24" spans="1:7" s="156" customFormat="1" ht="15" customHeight="1" x14ac:dyDescent="0.5">
      <c r="A24" s="151"/>
      <c r="B24" s="152"/>
      <c r="C24" s="153"/>
      <c r="D24" s="154"/>
      <c r="E24" s="155"/>
    </row>
    <row r="25" spans="1:7" s="156" customFormat="1" ht="30" customHeight="1" x14ac:dyDescent="0.5">
      <c r="A25" s="151"/>
      <c r="B25" s="157" t="s">
        <v>140</v>
      </c>
      <c r="C25" s="153">
        <v>250000</v>
      </c>
      <c r="D25" s="154">
        <v>200000</v>
      </c>
      <c r="E25" s="155"/>
    </row>
    <row r="26" spans="1:7" s="156" customFormat="1" ht="30" customHeight="1" x14ac:dyDescent="0.5">
      <c r="A26" s="151"/>
      <c r="B26" s="158" t="s">
        <v>81</v>
      </c>
      <c r="C26" s="153"/>
      <c r="D26" s="154"/>
      <c r="E26" s="155"/>
    </row>
    <row r="27" spans="1:7" s="115" customFormat="1" ht="30" customHeight="1" x14ac:dyDescent="0.5">
      <c r="A27" s="136"/>
      <c r="B27" s="159" t="s">
        <v>141</v>
      </c>
      <c r="C27" s="138">
        <f>SUM(C24:C26)</f>
        <v>250000</v>
      </c>
      <c r="D27" s="138">
        <f>SUM(D24:D26)</f>
        <v>200000</v>
      </c>
      <c r="E27" s="140"/>
    </row>
    <row r="28" spans="1:7" s="119" customFormat="1" ht="30" customHeight="1" x14ac:dyDescent="0.5">
      <c r="A28" s="132"/>
      <c r="B28" s="160" t="s">
        <v>142</v>
      </c>
      <c r="C28" s="161">
        <f>C23+C27</f>
        <v>358853.5</v>
      </c>
      <c r="D28" s="161">
        <f>D23+D27</f>
        <v>200000</v>
      </c>
      <c r="E28" s="140"/>
    </row>
    <row r="29" spans="1:7" s="156" customFormat="1" ht="27" hidden="1" customHeight="1" x14ac:dyDescent="0.5">
      <c r="A29" s="151"/>
      <c r="B29" s="162" t="s">
        <v>37</v>
      </c>
      <c r="C29" s="163"/>
      <c r="D29" s="164"/>
      <c r="E29" s="165"/>
    </row>
    <row r="30" spans="1:7" s="119" customFormat="1" ht="30" hidden="1" customHeight="1" x14ac:dyDescent="0.5">
      <c r="A30" s="132"/>
      <c r="B30" s="166" t="s">
        <v>143</v>
      </c>
      <c r="C30" s="153"/>
      <c r="D30" s="143"/>
    </row>
    <row r="31" spans="1:7" s="119" customFormat="1" ht="30" hidden="1" customHeight="1" x14ac:dyDescent="0.5">
      <c r="A31" s="132"/>
      <c r="B31" s="167" t="s">
        <v>144</v>
      </c>
      <c r="C31" s="153"/>
      <c r="D31" s="143"/>
    </row>
    <row r="32" spans="1:7" s="119" customFormat="1" ht="30" hidden="1" customHeight="1" x14ac:dyDescent="0.5">
      <c r="A32" s="132"/>
      <c r="B32" s="167" t="s">
        <v>48</v>
      </c>
      <c r="C32" s="153"/>
      <c r="D32" s="143"/>
    </row>
    <row r="33" spans="1:6" s="119" customFormat="1" ht="30" hidden="1" customHeight="1" x14ac:dyDescent="0.5">
      <c r="A33" s="132"/>
      <c r="B33" s="167" t="s">
        <v>145</v>
      </c>
      <c r="C33" s="153"/>
      <c r="D33" s="143"/>
    </row>
    <row r="34" spans="1:6" s="119" customFormat="1" ht="30" hidden="1" customHeight="1" x14ac:dyDescent="0.5">
      <c r="A34" s="132"/>
      <c r="B34" s="167" t="s">
        <v>146</v>
      </c>
      <c r="C34" s="153"/>
      <c r="D34" s="143"/>
    </row>
    <row r="35" spans="1:6" s="119" customFormat="1" ht="30" hidden="1" customHeight="1" x14ac:dyDescent="0.5">
      <c r="A35" s="132"/>
      <c r="B35" s="168" t="s">
        <v>147</v>
      </c>
      <c r="C35" s="153"/>
      <c r="D35" s="143"/>
    </row>
    <row r="36" spans="1:6" s="119" customFormat="1" ht="30" customHeight="1" x14ac:dyDescent="0.5">
      <c r="A36" s="132"/>
      <c r="B36" s="169" t="s">
        <v>148</v>
      </c>
      <c r="C36" s="147">
        <f>+C51</f>
        <v>976250</v>
      </c>
      <c r="D36" s="147">
        <v>561000</v>
      </c>
      <c r="E36" s="140"/>
      <c r="F36" s="119" t="s">
        <v>294</v>
      </c>
    </row>
    <row r="37" spans="1:6" s="119" customFormat="1" ht="7.9" customHeight="1" x14ac:dyDescent="0.5">
      <c r="A37" s="132"/>
      <c r="B37" s="170"/>
      <c r="C37" s="171"/>
      <c r="D37" s="172"/>
    </row>
    <row r="38" spans="1:6" s="119" customFormat="1" ht="30" customHeight="1" x14ac:dyDescent="0.5">
      <c r="A38" s="132"/>
      <c r="B38" s="160" t="s">
        <v>149</v>
      </c>
      <c r="C38" s="161">
        <f>C28-C36</f>
        <v>-617396.5</v>
      </c>
      <c r="D38" s="161">
        <f>D28-D36</f>
        <v>-361000</v>
      </c>
      <c r="E38" s="140"/>
    </row>
    <row r="39" spans="1:6" s="176" customFormat="1" ht="30" customHeight="1" x14ac:dyDescent="0.5">
      <c r="A39" s="173"/>
      <c r="B39" s="174"/>
      <c r="C39" s="175"/>
      <c r="D39" s="172"/>
      <c r="E39" s="140"/>
    </row>
    <row r="40" spans="1:6" s="115" customFormat="1" ht="30" customHeight="1" x14ac:dyDescent="0.5">
      <c r="A40" s="136"/>
      <c r="B40" s="177" t="s">
        <v>150</v>
      </c>
      <c r="C40" s="178"/>
      <c r="D40" s="143"/>
      <c r="E40" s="140"/>
    </row>
    <row r="41" spans="1:6" s="176" customFormat="1" ht="30" customHeight="1" x14ac:dyDescent="0.5">
      <c r="A41" s="173"/>
      <c r="B41" s="174"/>
      <c r="C41" s="175"/>
      <c r="D41" s="172"/>
      <c r="E41" s="140"/>
    </row>
    <row r="42" spans="1:6" s="119" customFormat="1" ht="30" customHeight="1" thickBot="1" x14ac:dyDescent="0.55000000000000004">
      <c r="A42" s="132"/>
      <c r="B42" s="179" t="s">
        <v>151</v>
      </c>
      <c r="C42" s="180">
        <f>C38+C40</f>
        <v>-617396.5</v>
      </c>
      <c r="D42" s="180">
        <f>D38+D40</f>
        <v>-361000</v>
      </c>
      <c r="E42" s="140"/>
    </row>
    <row r="43" spans="1:6" s="119" customFormat="1" ht="30" customHeight="1" thickTop="1" x14ac:dyDescent="0.5">
      <c r="A43" s="132"/>
      <c r="B43" s="181"/>
      <c r="C43" s="182"/>
      <c r="D43" s="183"/>
      <c r="E43" s="140"/>
    </row>
    <row r="44" spans="1:6" s="119" customFormat="1" ht="30" customHeight="1" outlineLevel="1" x14ac:dyDescent="0.5">
      <c r="A44" s="132"/>
      <c r="B44" s="184" t="s">
        <v>152</v>
      </c>
      <c r="C44" s="185"/>
      <c r="D44" s="186"/>
      <c r="E44" s="140"/>
    </row>
    <row r="45" spans="1:6" s="115" customFormat="1" ht="30" customHeight="1" outlineLevel="1" x14ac:dyDescent="0.5">
      <c r="A45" s="136"/>
      <c r="B45" s="187" t="s">
        <v>153</v>
      </c>
      <c r="C45" s="188">
        <f t="shared" ref="C45" si="0">C38/C28</f>
        <v>-1.7204694952118345</v>
      </c>
      <c r="D45" s="189">
        <f t="shared" ref="D45" si="1">D38/D28</f>
        <v>-1.8049999999999999</v>
      </c>
      <c r="E45" s="140"/>
    </row>
    <row r="46" spans="1:6" s="194" customFormat="1" ht="30" customHeight="1" outlineLevel="1" thickBot="1" x14ac:dyDescent="0.55000000000000004">
      <c r="A46" s="190"/>
      <c r="B46" s="191" t="s">
        <v>154</v>
      </c>
      <c r="C46" s="192">
        <f t="shared" ref="C46" si="2">C42/(C28+C40)</f>
        <v>-1.7204694952118345</v>
      </c>
      <c r="D46" s="193">
        <f t="shared" ref="D46" si="3">D42/(D28+D40)</f>
        <v>-1.8049999999999999</v>
      </c>
    </row>
    <row r="47" spans="1:6" s="119" customFormat="1" ht="30" customHeight="1" x14ac:dyDescent="0.5">
      <c r="A47" s="116"/>
      <c r="B47" s="195"/>
      <c r="C47" s="195"/>
    </row>
    <row r="48" spans="1:6" s="119" customFormat="1" ht="30" customHeight="1" x14ac:dyDescent="0.5">
      <c r="A48" s="116"/>
      <c r="B48" s="195"/>
      <c r="C48" s="195">
        <f>775000*0.75</f>
        <v>581250</v>
      </c>
      <c r="D48" s="119" t="s">
        <v>295</v>
      </c>
      <c r="E48" s="119" t="s">
        <v>298</v>
      </c>
    </row>
    <row r="49" spans="2:5" ht="30" customHeight="1" x14ac:dyDescent="0.5">
      <c r="C49" s="195">
        <v>115000</v>
      </c>
      <c r="D49" s="195" t="s">
        <v>296</v>
      </c>
    </row>
    <row r="50" spans="2:5" ht="30" customHeight="1" x14ac:dyDescent="0.5">
      <c r="C50" s="195">
        <v>280000</v>
      </c>
      <c r="D50" s="195" t="s">
        <v>297</v>
      </c>
    </row>
    <row r="51" spans="2:5" ht="30" customHeight="1" x14ac:dyDescent="0.5">
      <c r="C51" s="195">
        <f>SUM(C48:C50)</f>
        <v>976250</v>
      </c>
      <c r="D51" s="195"/>
    </row>
    <row r="52" spans="2:5" ht="30" customHeight="1" x14ac:dyDescent="0.25"/>
    <row r="53" spans="2:5" ht="30" customHeight="1" x14ac:dyDescent="0.25"/>
    <row r="54" spans="2:5" s="196" customFormat="1" ht="30" customHeight="1" x14ac:dyDescent="0.25">
      <c r="B54" s="197"/>
      <c r="C54" s="197"/>
      <c r="D54" s="21"/>
      <c r="E54" s="21"/>
    </row>
    <row r="55" spans="2:5" s="196" customFormat="1" ht="30" customHeight="1" x14ac:dyDescent="0.25">
      <c r="B55" s="197"/>
      <c r="C55" s="197"/>
      <c r="D55" s="21"/>
      <c r="E55" s="21"/>
    </row>
    <row r="56" spans="2:5" s="196" customFormat="1" ht="30" customHeight="1" x14ac:dyDescent="0.25">
      <c r="B56" s="197"/>
      <c r="C56" s="197"/>
      <c r="D56" s="21"/>
      <c r="E56" s="21"/>
    </row>
    <row r="57" spans="2:5" s="196" customFormat="1" ht="30" customHeight="1" x14ac:dyDescent="0.25">
      <c r="B57" s="197"/>
      <c r="C57" s="197"/>
      <c r="D57" s="21"/>
      <c r="E57" s="21"/>
    </row>
    <row r="58" spans="2:5" s="196" customFormat="1" ht="30" customHeight="1" x14ac:dyDescent="0.25">
      <c r="B58" s="197"/>
      <c r="C58" s="197"/>
      <c r="D58" s="21"/>
      <c r="E58" s="21"/>
    </row>
    <row r="59" spans="2:5" s="196" customFormat="1" ht="30" customHeight="1" x14ac:dyDescent="0.25">
      <c r="B59" s="197"/>
      <c r="C59" s="197"/>
      <c r="D59" s="21"/>
      <c r="E59" s="21"/>
    </row>
    <row r="60" spans="2:5" s="196" customFormat="1" ht="30" customHeight="1" x14ac:dyDescent="0.25">
      <c r="B60" s="197"/>
      <c r="C60" s="197"/>
      <c r="D60" s="21"/>
      <c r="E60" s="21"/>
    </row>
    <row r="61" spans="2:5" s="196" customFormat="1" ht="30" customHeight="1" x14ac:dyDescent="0.25">
      <c r="B61" s="197"/>
      <c r="C61" s="197"/>
      <c r="D61" s="21"/>
      <c r="E61" s="21"/>
    </row>
    <row r="62" spans="2:5" s="196" customFormat="1" ht="30" customHeight="1" x14ac:dyDescent="0.25">
      <c r="B62" s="197"/>
      <c r="C62" s="197"/>
      <c r="D62" s="21"/>
      <c r="E62" s="21"/>
    </row>
    <row r="63" spans="2:5" s="196" customFormat="1" ht="30" customHeight="1" x14ac:dyDescent="0.25">
      <c r="B63" s="197"/>
      <c r="C63" s="197"/>
      <c r="D63" s="21"/>
      <c r="E63" s="21"/>
    </row>
    <row r="64" spans="2:5" s="196" customFormat="1" ht="30" customHeight="1" x14ac:dyDescent="0.25">
      <c r="B64" s="197"/>
      <c r="C64" s="197"/>
      <c r="D64" s="21"/>
      <c r="E64" s="21"/>
    </row>
    <row r="65" spans="1:5" s="196" customFormat="1" ht="30" customHeight="1" x14ac:dyDescent="0.25">
      <c r="B65" s="197"/>
      <c r="C65" s="197"/>
      <c r="D65" s="21"/>
      <c r="E65" s="21"/>
    </row>
    <row r="66" spans="1:5" s="196" customFormat="1" ht="30" customHeight="1" x14ac:dyDescent="0.25">
      <c r="B66" s="197"/>
      <c r="C66" s="197"/>
      <c r="D66" s="21"/>
      <c r="E66" s="21"/>
    </row>
    <row r="67" spans="1:5" s="196" customFormat="1" ht="30" customHeight="1" x14ac:dyDescent="0.25">
      <c r="B67" s="197"/>
      <c r="C67" s="197"/>
      <c r="D67" s="21"/>
      <c r="E67" s="21"/>
    </row>
    <row r="68" spans="1:5" s="196" customFormat="1" ht="30" customHeight="1" x14ac:dyDescent="0.25">
      <c r="B68" s="197"/>
      <c r="C68" s="197"/>
      <c r="D68" s="21"/>
      <c r="E68" s="21"/>
    </row>
    <row r="69" spans="1:5" s="196" customFormat="1" ht="30" customHeight="1" x14ac:dyDescent="0.25">
      <c r="B69" s="197"/>
      <c r="C69" s="197"/>
      <c r="D69" s="21"/>
      <c r="E69" s="21"/>
    </row>
    <row r="70" spans="1:5" ht="30" customHeight="1" x14ac:dyDescent="0.25"/>
    <row r="71" spans="1:5" ht="30" customHeight="1" x14ac:dyDescent="0.25"/>
    <row r="72" spans="1:5" ht="30" customHeight="1" x14ac:dyDescent="0.25"/>
    <row r="73" spans="1:5" ht="30" customHeight="1" x14ac:dyDescent="0.25"/>
    <row r="79" spans="1:5" s="201" customFormat="1" x14ac:dyDescent="0.25">
      <c r="A79" s="198"/>
      <c r="B79" s="199" t="s">
        <v>155</v>
      </c>
      <c r="C79" s="199"/>
      <c r="D79" s="200"/>
    </row>
    <row r="80" spans="1:5" x14ac:dyDescent="0.25">
      <c r="B80" s="202"/>
      <c r="C80" s="202"/>
      <c r="D80" s="201"/>
    </row>
  </sheetData>
  <mergeCells count="5">
    <mergeCell ref="B7:D7"/>
    <mergeCell ref="B10:D10"/>
    <mergeCell ref="B3:D3"/>
    <mergeCell ref="B2:D2"/>
    <mergeCell ref="B4:D4"/>
  </mergeCells>
  <pageMargins left="0.45" right="0.45" top="0.25" bottom="0.5" header="0.3" footer="0.3"/>
  <pageSetup scale="55" orientation="landscape" r:id="rId1"/>
  <headerFooter>
    <oddFooter>&amp;L&amp;16&amp;D, Page &amp;P&amp;C&amp;16Green Mountain Care Board&amp;R&amp;16&amp;F, &amp;A</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7D515-C1D8-433F-8100-DAF2FC206E24}">
  <sheetPr>
    <tabColor rgb="FFFFC000"/>
  </sheetPr>
  <dimension ref="B1:F26"/>
  <sheetViews>
    <sheetView showGridLines="0" workbookViewId="0">
      <selection activeCell="C21" sqref="C21"/>
    </sheetView>
  </sheetViews>
  <sheetFormatPr defaultColWidth="8.85546875" defaultRowHeight="15" x14ac:dyDescent="0.25"/>
  <cols>
    <col min="1" max="1" width="8.85546875" style="1"/>
    <col min="2" max="2" width="32.28515625" style="41" customWidth="1"/>
    <col min="3" max="4" width="22.28515625" style="41" customWidth="1"/>
    <col min="5" max="5" width="17.5703125" style="41" customWidth="1"/>
    <col min="6" max="6" width="19.5703125" style="41" customWidth="1"/>
    <col min="7" max="16384" width="8.85546875" style="1"/>
  </cols>
  <sheetData>
    <row r="1" spans="2:6" s="107" customFormat="1" x14ac:dyDescent="0.25">
      <c r="B1" s="108"/>
      <c r="C1" s="108"/>
      <c r="D1" s="108"/>
      <c r="E1" s="108"/>
      <c r="F1" s="108"/>
    </row>
    <row r="2" spans="2:6" ht="15.75" x14ac:dyDescent="0.25">
      <c r="B2" s="839" t="s">
        <v>156</v>
      </c>
      <c r="C2" s="839"/>
      <c r="D2" s="839"/>
      <c r="E2" s="839"/>
      <c r="F2" s="839"/>
    </row>
    <row r="3" spans="2:6" ht="18.75" x14ac:dyDescent="0.3">
      <c r="B3" s="840" t="s">
        <v>2</v>
      </c>
      <c r="C3" s="841"/>
      <c r="D3" s="841"/>
      <c r="E3" s="841"/>
      <c r="F3" s="842"/>
    </row>
    <row r="4" spans="2:6" ht="18.75" x14ac:dyDescent="0.3">
      <c r="B4" s="813" t="s">
        <v>157</v>
      </c>
      <c r="C4" s="814"/>
      <c r="D4" s="814"/>
      <c r="E4" s="814"/>
      <c r="F4" s="815"/>
    </row>
    <row r="5" spans="2:6" ht="15.75" x14ac:dyDescent="0.25">
      <c r="B5" s="30"/>
      <c r="C5" s="30"/>
      <c r="D5" s="30"/>
      <c r="E5" s="30"/>
      <c r="F5" s="30"/>
    </row>
    <row r="6" spans="2:6" ht="28.5" customHeight="1" x14ac:dyDescent="0.25">
      <c r="B6" s="838" t="s">
        <v>158</v>
      </c>
      <c r="C6" s="838"/>
      <c r="D6" s="838"/>
      <c r="E6" s="838"/>
      <c r="F6" s="838"/>
    </row>
    <row r="7" spans="2:6" ht="15.75" x14ac:dyDescent="0.25">
      <c r="B7" s="30"/>
      <c r="C7" s="30"/>
      <c r="D7" s="30"/>
      <c r="E7" s="30"/>
      <c r="F7" s="30"/>
    </row>
    <row r="8" spans="2:6" ht="48" customHeight="1" x14ac:dyDescent="0.25">
      <c r="B8" s="31" t="s">
        <v>159</v>
      </c>
      <c r="C8" s="32" t="s">
        <v>160</v>
      </c>
      <c r="D8" s="32" t="s">
        <v>161</v>
      </c>
      <c r="E8" s="32" t="s">
        <v>162</v>
      </c>
      <c r="F8" s="33" t="s">
        <v>163</v>
      </c>
    </row>
    <row r="9" spans="2:6" ht="25.5" customHeight="1" x14ac:dyDescent="0.25">
      <c r="B9" s="34"/>
      <c r="C9" s="35" t="s">
        <v>164</v>
      </c>
      <c r="D9" s="35" t="s">
        <v>165</v>
      </c>
      <c r="E9" s="35" t="s">
        <v>165</v>
      </c>
      <c r="F9" s="36" t="s">
        <v>166</v>
      </c>
    </row>
    <row r="10" spans="2:6" ht="24" customHeight="1" x14ac:dyDescent="0.25">
      <c r="B10" s="37" t="s">
        <v>275</v>
      </c>
      <c r="C10" s="38" t="s">
        <v>268</v>
      </c>
      <c r="D10" s="298">
        <v>3725</v>
      </c>
      <c r="E10" s="302">
        <v>241000</v>
      </c>
      <c r="F10" s="300" t="s">
        <v>270</v>
      </c>
    </row>
    <row r="11" spans="2:6" ht="15.75" x14ac:dyDescent="0.25">
      <c r="B11" s="37" t="s">
        <v>168</v>
      </c>
      <c r="C11" s="38"/>
      <c r="D11" s="298"/>
      <c r="E11" s="38"/>
      <c r="F11" s="39"/>
    </row>
    <row r="12" spans="2:6" ht="18" x14ac:dyDescent="0.25">
      <c r="B12" s="37" t="s">
        <v>276</v>
      </c>
      <c r="C12" s="38" t="s">
        <v>269</v>
      </c>
      <c r="D12" s="298">
        <v>1155</v>
      </c>
      <c r="E12" s="299" t="s">
        <v>271</v>
      </c>
      <c r="F12" s="300" t="s">
        <v>270</v>
      </c>
    </row>
    <row r="13" spans="2:6" ht="15.75" x14ac:dyDescent="0.25">
      <c r="B13" s="37" t="s">
        <v>169</v>
      </c>
      <c r="C13" s="38"/>
      <c r="D13" s="38"/>
      <c r="E13" s="38"/>
      <c r="F13" s="39"/>
    </row>
    <row r="14" spans="2:6" ht="15.75" x14ac:dyDescent="0.25">
      <c r="B14" s="37" t="s">
        <v>170</v>
      </c>
      <c r="C14" s="40"/>
      <c r="D14" s="38"/>
      <c r="E14" s="38"/>
      <c r="F14" s="39"/>
    </row>
    <row r="15" spans="2:6" ht="15.75" x14ac:dyDescent="0.25">
      <c r="B15" s="30"/>
    </row>
    <row r="16" spans="2:6" ht="15.75" x14ac:dyDescent="0.25">
      <c r="B16" s="296" t="s">
        <v>281</v>
      </c>
      <c r="E16" s="42"/>
    </row>
    <row r="17" spans="2:3" x14ac:dyDescent="0.25">
      <c r="B17" s="303" t="s">
        <v>272</v>
      </c>
    </row>
    <row r="18" spans="2:3" ht="17.25" x14ac:dyDescent="0.25">
      <c r="B18" s="301" t="s">
        <v>277</v>
      </c>
    </row>
    <row r="19" spans="2:3" x14ac:dyDescent="0.25">
      <c r="B19" s="41" t="s">
        <v>273</v>
      </c>
      <c r="C19" s="297">
        <v>44703</v>
      </c>
    </row>
    <row r="20" spans="2:3" x14ac:dyDescent="0.25">
      <c r="B20" s="41" t="s">
        <v>274</v>
      </c>
      <c r="C20" s="297">
        <v>3725.25</v>
      </c>
    </row>
    <row r="21" spans="2:3" ht="17.25" x14ac:dyDescent="0.25">
      <c r="B21" s="301" t="s">
        <v>278</v>
      </c>
      <c r="C21" s="108"/>
    </row>
    <row r="22" spans="2:3" x14ac:dyDescent="0.25">
      <c r="B22" s="41" t="s">
        <v>273</v>
      </c>
      <c r="C22" s="763"/>
    </row>
    <row r="23" spans="2:3" x14ac:dyDescent="0.25">
      <c r="B23" s="41" t="s">
        <v>274</v>
      </c>
      <c r="C23" s="297">
        <v>1155</v>
      </c>
    </row>
    <row r="24" spans="2:3" ht="6" customHeight="1" x14ac:dyDescent="0.25">
      <c r="C24" s="297"/>
    </row>
    <row r="25" spans="2:3" x14ac:dyDescent="0.25">
      <c r="B25" s="41" t="s">
        <v>279</v>
      </c>
    </row>
    <row r="26" spans="2:3" x14ac:dyDescent="0.25">
      <c r="B26" s="41" t="s">
        <v>280</v>
      </c>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5F5A-5A4C-4FE5-8562-109CA7C69874}">
  <sheetPr>
    <tabColor rgb="FFFFC000"/>
    <pageSetUpPr fitToPage="1"/>
  </sheetPr>
  <dimension ref="B2:K30"/>
  <sheetViews>
    <sheetView showGridLines="0" topLeftCell="A4" zoomScale="94" zoomScaleNormal="100" zoomScaleSheetLayoutView="55" workbookViewId="0">
      <selection activeCell="B16" sqref="B16"/>
    </sheetView>
  </sheetViews>
  <sheetFormatPr defaultColWidth="9.140625" defaultRowHeight="15" customHeight="1" x14ac:dyDescent="0.25"/>
  <cols>
    <col min="1" max="1" width="3.5703125" style="105" customWidth="1"/>
    <col min="2" max="2" width="43.42578125" style="105" bestFit="1" customWidth="1"/>
    <col min="3" max="3" width="24" style="105" customWidth="1"/>
    <col min="4" max="11" width="22.7109375" style="105" customWidth="1"/>
    <col min="12" max="16384" width="9.140625" style="105"/>
  </cols>
  <sheetData>
    <row r="2" spans="2:11" s="1" customFormat="1" ht="15.75" x14ac:dyDescent="0.25">
      <c r="B2" s="839" t="s">
        <v>171</v>
      </c>
      <c r="C2" s="839"/>
      <c r="D2" s="839"/>
      <c r="E2" s="839"/>
      <c r="F2" s="839"/>
      <c r="G2" s="839"/>
      <c r="H2" s="839"/>
      <c r="I2" s="839"/>
      <c r="J2" s="839"/>
      <c r="K2" s="839"/>
    </row>
    <row r="3" spans="2:11" s="1" customFormat="1" ht="18.75" x14ac:dyDescent="0.3">
      <c r="B3" s="840" t="s">
        <v>172</v>
      </c>
      <c r="C3" s="841"/>
      <c r="D3" s="841"/>
      <c r="E3" s="841"/>
      <c r="F3" s="841"/>
      <c r="G3" s="841"/>
      <c r="H3" s="841"/>
      <c r="I3" s="841"/>
      <c r="J3" s="841"/>
      <c r="K3" s="842"/>
    </row>
    <row r="4" spans="2:11" s="1" customFormat="1" ht="18.75" x14ac:dyDescent="0.3">
      <c r="B4" s="813" t="s">
        <v>173</v>
      </c>
      <c r="C4" s="814"/>
      <c r="D4" s="814"/>
      <c r="E4" s="814"/>
      <c r="F4" s="814"/>
      <c r="G4" s="814"/>
      <c r="H4" s="814"/>
      <c r="I4" s="814"/>
      <c r="J4" s="814"/>
      <c r="K4" s="815"/>
    </row>
    <row r="5" spans="2:11" s="107" customFormat="1" ht="18.75" x14ac:dyDescent="0.3">
      <c r="B5" s="247"/>
      <c r="C5" s="247"/>
      <c r="D5" s="247"/>
      <c r="E5" s="247"/>
      <c r="F5" s="247"/>
      <c r="G5" s="247"/>
      <c r="H5" s="247"/>
      <c r="I5" s="247"/>
      <c r="J5" s="247"/>
      <c r="K5" s="247"/>
    </row>
    <row r="6" spans="2:11" s="107" customFormat="1" ht="18.75" customHeight="1" x14ac:dyDescent="0.25">
      <c r="B6" s="845" t="s">
        <v>246</v>
      </c>
      <c r="C6" s="845"/>
      <c r="D6" s="845"/>
      <c r="E6" s="845"/>
      <c r="F6" s="845"/>
      <c r="G6" s="845"/>
      <c r="H6" s="845"/>
      <c r="I6" s="845"/>
      <c r="J6" s="845"/>
      <c r="K6" s="845"/>
    </row>
    <row r="7" spans="2:11" s="107" customFormat="1" ht="18.75" customHeight="1" x14ac:dyDescent="0.25">
      <c r="B7" s="845"/>
      <c r="C7" s="845"/>
      <c r="D7" s="845"/>
      <c r="E7" s="845"/>
      <c r="F7" s="845"/>
      <c r="G7" s="845"/>
      <c r="H7" s="845"/>
      <c r="I7" s="845"/>
      <c r="J7" s="845"/>
      <c r="K7" s="845"/>
    </row>
    <row r="8" spans="2:11" s="107" customFormat="1" ht="18.75" x14ac:dyDescent="0.3">
      <c r="B8" s="106"/>
      <c r="C8" s="106"/>
      <c r="D8" s="106"/>
      <c r="E8" s="106"/>
      <c r="F8" s="106"/>
      <c r="G8" s="106"/>
      <c r="H8" s="106"/>
    </row>
    <row r="9" spans="2:11" s="252" customFormat="1" x14ac:dyDescent="0.25">
      <c r="B9" s="253"/>
      <c r="D9" s="253"/>
      <c r="E9" s="253"/>
      <c r="F9" s="253"/>
      <c r="G9" s="253"/>
      <c r="H9" s="253"/>
      <c r="I9" s="254"/>
      <c r="J9" s="254"/>
      <c r="K9" s="254"/>
    </row>
    <row r="10" spans="2:11" s="246" customFormat="1" ht="15" customHeight="1" x14ac:dyDescent="0.25">
      <c r="B10" s="843" t="s">
        <v>174</v>
      </c>
      <c r="C10" s="263" t="s">
        <v>175</v>
      </c>
      <c r="D10" s="258" t="s">
        <v>175</v>
      </c>
      <c r="E10" s="259" t="s">
        <v>176</v>
      </c>
      <c r="F10" s="260" t="s">
        <v>177</v>
      </c>
      <c r="G10" s="258" t="s">
        <v>175</v>
      </c>
      <c r="H10" s="259" t="s">
        <v>176</v>
      </c>
      <c r="I10" s="260" t="s">
        <v>177</v>
      </c>
      <c r="J10" s="259" t="s">
        <v>176</v>
      </c>
      <c r="K10" s="260" t="s">
        <v>177</v>
      </c>
    </row>
    <row r="11" spans="2:11" s="246" customFormat="1" ht="15" customHeight="1" x14ac:dyDescent="0.25">
      <c r="B11" s="844"/>
      <c r="C11" s="262" t="s">
        <v>218</v>
      </c>
      <c r="D11" s="846" t="s">
        <v>178</v>
      </c>
      <c r="E11" s="847"/>
      <c r="F11" s="848"/>
      <c r="G11" s="846" t="s">
        <v>179</v>
      </c>
      <c r="H11" s="847"/>
      <c r="I11" s="848"/>
      <c r="J11" s="847" t="s">
        <v>180</v>
      </c>
      <c r="K11" s="848"/>
    </row>
    <row r="12" spans="2:11" ht="15" customHeight="1" x14ac:dyDescent="0.25">
      <c r="B12" s="255" t="s">
        <v>181</v>
      </c>
      <c r="C12" s="261">
        <f>+D12+G12</f>
        <v>5444565</v>
      </c>
      <c r="D12" s="305">
        <v>5444565</v>
      </c>
      <c r="E12" s="304">
        <f>+D12</f>
        <v>5444565</v>
      </c>
      <c r="F12" s="306">
        <v>0</v>
      </c>
      <c r="G12" s="305"/>
      <c r="H12" s="304"/>
      <c r="I12" s="306"/>
      <c r="J12" s="304">
        <v>0</v>
      </c>
      <c r="K12" s="306">
        <v>0</v>
      </c>
    </row>
    <row r="13" spans="2:11" ht="15" customHeight="1" x14ac:dyDescent="0.25">
      <c r="B13" s="255" t="s">
        <v>182</v>
      </c>
      <c r="C13" s="261">
        <f t="shared" ref="C13:C27" si="0">+D13+G13</f>
        <v>0</v>
      </c>
      <c r="D13" s="305"/>
      <c r="E13" s="304"/>
      <c r="F13" s="306"/>
      <c r="G13" s="305"/>
      <c r="H13" s="304"/>
      <c r="I13" s="306"/>
      <c r="J13" s="304"/>
      <c r="K13" s="306"/>
    </row>
    <row r="14" spans="2:11" ht="15" customHeight="1" x14ac:dyDescent="0.25">
      <c r="B14" s="255" t="s">
        <v>183</v>
      </c>
      <c r="C14" s="261">
        <f t="shared" si="0"/>
        <v>0</v>
      </c>
      <c r="D14" s="305"/>
      <c r="E14" s="304"/>
      <c r="F14" s="306"/>
      <c r="G14" s="305"/>
      <c r="H14" s="304"/>
      <c r="I14" s="306"/>
      <c r="J14" s="304"/>
      <c r="K14" s="306"/>
    </row>
    <row r="15" spans="2:11" ht="15" customHeight="1" x14ac:dyDescent="0.25">
      <c r="B15" s="255" t="s">
        <v>184</v>
      </c>
      <c r="C15" s="261">
        <f t="shared" si="0"/>
        <v>0</v>
      </c>
      <c r="D15" s="305"/>
      <c r="E15" s="304"/>
      <c r="F15" s="306"/>
      <c r="G15" s="305"/>
      <c r="H15" s="304"/>
      <c r="I15" s="306"/>
      <c r="J15" s="304"/>
      <c r="K15" s="306"/>
    </row>
    <row r="16" spans="2:11" ht="15" customHeight="1" x14ac:dyDescent="0.25">
      <c r="B16" s="255" t="s">
        <v>185</v>
      </c>
      <c r="C16" s="261">
        <f t="shared" si="0"/>
        <v>0</v>
      </c>
      <c r="D16" s="305"/>
      <c r="E16" s="304"/>
      <c r="F16" s="306"/>
      <c r="G16" s="305"/>
      <c r="H16" s="304"/>
      <c r="I16" s="306"/>
      <c r="J16" s="304"/>
      <c r="K16" s="306"/>
    </row>
    <row r="17" spans="2:11" ht="15" customHeight="1" x14ac:dyDescent="0.25">
      <c r="B17" s="255" t="s">
        <v>186</v>
      </c>
      <c r="C17" s="261">
        <f t="shared" si="0"/>
        <v>0</v>
      </c>
      <c r="D17" s="305"/>
      <c r="E17" s="304"/>
      <c r="F17" s="306"/>
      <c r="G17" s="305"/>
      <c r="H17" s="304"/>
      <c r="I17" s="306"/>
      <c r="J17" s="304"/>
      <c r="K17" s="306"/>
    </row>
    <row r="18" spans="2:11" ht="15" customHeight="1" x14ac:dyDescent="0.25">
      <c r="B18" s="255" t="s">
        <v>187</v>
      </c>
      <c r="C18" s="261">
        <f t="shared" si="0"/>
        <v>0</v>
      </c>
      <c r="D18" s="305"/>
      <c r="E18" s="304"/>
      <c r="F18" s="306"/>
      <c r="G18" s="305"/>
      <c r="H18" s="304"/>
      <c r="I18" s="306"/>
      <c r="J18" s="304"/>
      <c r="K18" s="306"/>
    </row>
    <row r="19" spans="2:11" ht="15" customHeight="1" x14ac:dyDescent="0.25">
      <c r="B19" s="255" t="s">
        <v>188</v>
      </c>
      <c r="C19" s="261">
        <f t="shared" si="0"/>
        <v>0</v>
      </c>
      <c r="D19" s="305"/>
      <c r="E19" s="304"/>
      <c r="F19" s="306"/>
      <c r="G19" s="305"/>
      <c r="H19" s="304"/>
      <c r="I19" s="306"/>
      <c r="J19" s="304"/>
      <c r="K19" s="306"/>
    </row>
    <row r="20" spans="2:11" ht="15" customHeight="1" x14ac:dyDescent="0.25">
      <c r="B20" s="255" t="s">
        <v>219</v>
      </c>
      <c r="C20" s="261">
        <f t="shared" si="0"/>
        <v>0</v>
      </c>
      <c r="D20" s="305"/>
      <c r="E20" s="304"/>
      <c r="F20" s="306"/>
      <c r="G20" s="305"/>
      <c r="H20" s="304"/>
      <c r="I20" s="306"/>
      <c r="J20" s="304"/>
      <c r="K20" s="306"/>
    </row>
    <row r="21" spans="2:11" ht="15" customHeight="1" x14ac:dyDescent="0.25">
      <c r="B21" s="309" t="s">
        <v>290</v>
      </c>
      <c r="C21" s="320">
        <f t="shared" si="0"/>
        <v>0</v>
      </c>
      <c r="D21" s="305"/>
      <c r="E21" s="304"/>
      <c r="F21" s="306"/>
      <c r="G21" s="305"/>
      <c r="H21" s="304"/>
      <c r="I21" s="306"/>
      <c r="J21" s="304">
        <v>200000</v>
      </c>
      <c r="K21" s="306"/>
    </row>
    <row r="22" spans="2:11" s="324" customFormat="1" ht="14.45" customHeight="1" x14ac:dyDescent="0.25">
      <c r="B22" s="319" t="s">
        <v>283</v>
      </c>
      <c r="C22" s="320"/>
      <c r="D22" s="321">
        <v>1300000</v>
      </c>
      <c r="E22" s="322"/>
      <c r="F22" s="323">
        <f>+D22</f>
        <v>1300000</v>
      </c>
      <c r="G22" s="321"/>
      <c r="H22" s="322"/>
      <c r="I22" s="323"/>
      <c r="J22" s="322"/>
      <c r="K22" s="323"/>
    </row>
    <row r="23" spans="2:11" s="324" customFormat="1" ht="14.45" customHeight="1" x14ac:dyDescent="0.25">
      <c r="B23" s="319" t="s">
        <v>291</v>
      </c>
      <c r="C23" s="320">
        <f t="shared" si="0"/>
        <v>18422.2</v>
      </c>
      <c r="D23" s="321">
        <v>18422.2</v>
      </c>
      <c r="E23" s="322">
        <f>+D23</f>
        <v>18422.2</v>
      </c>
      <c r="F23" s="323"/>
      <c r="G23" s="321"/>
      <c r="H23" s="322"/>
      <c r="I23" s="323"/>
      <c r="J23" s="322"/>
      <c r="K23" s="323"/>
    </row>
    <row r="24" spans="2:11" ht="15" customHeight="1" x14ac:dyDescent="0.25">
      <c r="B24" s="309" t="s">
        <v>282</v>
      </c>
      <c r="C24" s="261">
        <f t="shared" si="0"/>
        <v>262393</v>
      </c>
      <c r="D24" s="305">
        <f>203967+58426</f>
        <v>262393</v>
      </c>
      <c r="E24" s="304">
        <v>34000</v>
      </c>
      <c r="F24" s="306">
        <f>+D24-E24</f>
        <v>228393</v>
      </c>
      <c r="G24" s="305">
        <v>0</v>
      </c>
      <c r="H24" s="304">
        <f>+F24</f>
        <v>228393</v>
      </c>
      <c r="I24" s="306">
        <v>0</v>
      </c>
      <c r="J24" s="304"/>
      <c r="K24" s="306"/>
    </row>
    <row r="25" spans="2:11" ht="15" customHeight="1" x14ac:dyDescent="0.25">
      <c r="B25" s="309" t="s">
        <v>288</v>
      </c>
      <c r="C25" s="261">
        <f t="shared" si="0"/>
        <v>99317</v>
      </c>
      <c r="D25" s="305">
        <v>99317</v>
      </c>
      <c r="E25" s="304">
        <v>0</v>
      </c>
      <c r="F25" s="306">
        <f>+D25</f>
        <v>99317</v>
      </c>
      <c r="G25" s="305"/>
      <c r="H25" s="304">
        <f>+F25</f>
        <v>99317</v>
      </c>
      <c r="I25" s="306">
        <v>0</v>
      </c>
      <c r="J25" s="304"/>
      <c r="K25" s="306"/>
    </row>
    <row r="26" spans="2:11" ht="15" customHeight="1" x14ac:dyDescent="0.25">
      <c r="B26" s="309" t="s">
        <v>286</v>
      </c>
      <c r="C26" s="261">
        <f t="shared" si="0"/>
        <v>623550</v>
      </c>
      <c r="D26" s="305">
        <v>323792</v>
      </c>
      <c r="E26" s="304">
        <v>535571</v>
      </c>
      <c r="F26" s="306">
        <v>0</v>
      </c>
      <c r="G26" s="305">
        <f>87979+E26-D26</f>
        <v>299758</v>
      </c>
      <c r="H26" s="304">
        <f>+G26+D26-E26</f>
        <v>87979</v>
      </c>
      <c r="I26" s="306"/>
      <c r="J26" s="304"/>
      <c r="K26" s="306"/>
    </row>
    <row r="27" spans="2:11" ht="15" customHeight="1" x14ac:dyDescent="0.25">
      <c r="B27" s="310" t="s">
        <v>287</v>
      </c>
      <c r="C27" s="261">
        <f t="shared" si="0"/>
        <v>2664148</v>
      </c>
      <c r="D27" s="307">
        <v>769819</v>
      </c>
      <c r="E27" s="307">
        <v>1023823</v>
      </c>
      <c r="F27" s="308">
        <v>0</v>
      </c>
      <c r="G27" s="307">
        <f>1555325+85000+E27-D27</f>
        <v>1894329</v>
      </c>
      <c r="H27" s="307">
        <v>1640325</v>
      </c>
      <c r="I27" s="308">
        <v>0</v>
      </c>
      <c r="J27" s="307">
        <v>0</v>
      </c>
      <c r="K27" s="308">
        <v>0</v>
      </c>
    </row>
    <row r="28" spans="2:11" ht="15" customHeight="1" thickBot="1" x14ac:dyDescent="0.3">
      <c r="B28" s="256" t="s">
        <v>189</v>
      </c>
      <c r="C28" s="311">
        <f>SUM(C12:C27)</f>
        <v>9112395.1999999993</v>
      </c>
      <c r="D28" s="312">
        <f t="shared" ref="D28:F28" si="1">SUM(D12:D27)</f>
        <v>8218308.2000000002</v>
      </c>
      <c r="E28" s="313">
        <f t="shared" si="1"/>
        <v>7056381.2000000002</v>
      </c>
      <c r="F28" s="314">
        <f t="shared" si="1"/>
        <v>1627710</v>
      </c>
      <c r="G28" s="312">
        <f t="shared" ref="G28" si="2">SUM(G12:G27)</f>
        <v>2194087</v>
      </c>
      <c r="H28" s="313">
        <f t="shared" ref="H28" si="3">SUM(H12:H27)</f>
        <v>2056014</v>
      </c>
      <c r="I28" s="314">
        <f t="shared" ref="I28" si="4">SUM(I12:I27)</f>
        <v>0</v>
      </c>
      <c r="J28" s="313">
        <f t="shared" ref="J28" si="5">SUM(J12:J27)</f>
        <v>200000</v>
      </c>
      <c r="K28" s="257">
        <f t="shared" ref="K28" si="6">SUM(K12:K27)</f>
        <v>0</v>
      </c>
    </row>
    <row r="29" spans="2:11" ht="15" customHeight="1" thickTop="1" x14ac:dyDescent="0.25">
      <c r="E29" s="318">
        <f>+C28-E28-H28</f>
        <v>0</v>
      </c>
    </row>
    <row r="30" spans="2:11" ht="15" customHeight="1" x14ac:dyDescent="0.25">
      <c r="B30" s="315" t="s">
        <v>284</v>
      </c>
      <c r="D30" s="318"/>
    </row>
  </sheetData>
  <mergeCells count="8">
    <mergeCell ref="B4:K4"/>
    <mergeCell ref="B3:K3"/>
    <mergeCell ref="B2:K2"/>
    <mergeCell ref="B10:B11"/>
    <mergeCell ref="B6:K7"/>
    <mergeCell ref="D11:F11"/>
    <mergeCell ref="G11:I11"/>
    <mergeCell ref="J11:K11"/>
  </mergeCells>
  <pageMargins left="0.7" right="0.7" top="0.75" bottom="0.75" header="0.3" footer="0.3"/>
  <pageSetup scale="48" fitToHeight="0"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EC541-D0DE-4B01-BED1-316BF72F2C4F}">
  <sheetPr>
    <tabColor theme="7"/>
  </sheetPr>
  <dimension ref="A2:B15"/>
  <sheetViews>
    <sheetView topLeftCell="A3" zoomScale="110" zoomScaleNormal="110" workbookViewId="0">
      <selection activeCell="C24" sqref="C24"/>
    </sheetView>
  </sheetViews>
  <sheetFormatPr defaultRowHeight="15" x14ac:dyDescent="0.25"/>
  <cols>
    <col min="1" max="1" width="42.7109375" style="66" customWidth="1"/>
    <col min="2" max="2" width="13.85546875" style="66" customWidth="1"/>
  </cols>
  <sheetData>
    <row r="2" spans="1:2" x14ac:dyDescent="0.25">
      <c r="A2" s="849" t="s">
        <v>190</v>
      </c>
      <c r="B2" s="849"/>
    </row>
    <row r="3" spans="1:2" ht="15.75" x14ac:dyDescent="0.25">
      <c r="A3" s="850" t="s">
        <v>191</v>
      </c>
      <c r="B3" s="850"/>
    </row>
    <row r="4" spans="1:2" ht="24.6" customHeight="1" x14ac:dyDescent="0.25">
      <c r="A4" s="851" t="s">
        <v>192</v>
      </c>
      <c r="B4" s="851"/>
    </row>
    <row r="5" spans="1:2" x14ac:dyDescent="0.25">
      <c r="A5" s="67" t="s">
        <v>193</v>
      </c>
      <c r="B5" s="68" t="e">
        <f>#REF!</f>
        <v>#REF!</v>
      </c>
    </row>
    <row r="6" spans="1:2" x14ac:dyDescent="0.25">
      <c r="A6" s="67" t="s">
        <v>194</v>
      </c>
      <c r="B6" s="69" t="e">
        <f>#REF!</f>
        <v>#REF!</v>
      </c>
    </row>
    <row r="7" spans="1:2" x14ac:dyDescent="0.25">
      <c r="A7" s="67" t="s">
        <v>195</v>
      </c>
      <c r="B7" s="69" t="e">
        <f>#REF!</f>
        <v>#REF!</v>
      </c>
    </row>
    <row r="8" spans="1:2" x14ac:dyDescent="0.25">
      <c r="A8" s="70"/>
      <c r="B8" s="71"/>
    </row>
    <row r="9" spans="1:2" x14ac:dyDescent="0.25">
      <c r="A9" s="72" t="s">
        <v>196</v>
      </c>
      <c r="B9" s="73"/>
    </row>
    <row r="10" spans="1:2" ht="39.6" customHeight="1" x14ac:dyDescent="0.25">
      <c r="A10" s="67" t="s">
        <v>23</v>
      </c>
      <c r="B10" s="74" t="e">
        <f>+#REF!</f>
        <v>#REF!</v>
      </c>
    </row>
    <row r="11" spans="1:2" x14ac:dyDescent="0.25">
      <c r="A11" s="67" t="s">
        <v>24</v>
      </c>
      <c r="B11" s="74" t="e">
        <f>+#REF!</f>
        <v>#REF!</v>
      </c>
    </row>
    <row r="12" spans="1:2" x14ac:dyDescent="0.25">
      <c r="A12" s="67" t="s">
        <v>25</v>
      </c>
      <c r="B12" s="74" t="e">
        <f>+#REF!</f>
        <v>#REF!</v>
      </c>
    </row>
    <row r="13" spans="1:2" x14ac:dyDescent="0.25">
      <c r="A13" s="67" t="s">
        <v>26</v>
      </c>
      <c r="B13" s="74" t="e">
        <f>+#REF!</f>
        <v>#REF!</v>
      </c>
    </row>
    <row r="14" spans="1:2" ht="44.45" customHeight="1" x14ac:dyDescent="0.25">
      <c r="A14" s="67" t="s">
        <v>27</v>
      </c>
      <c r="B14" s="74" t="e">
        <f>+#REF!</f>
        <v>#REF!</v>
      </c>
    </row>
    <row r="15" spans="1:2" x14ac:dyDescent="0.25">
      <c r="A15" s="75" t="s">
        <v>197</v>
      </c>
      <c r="B15" s="76" t="e">
        <f>SUM(B10:B14)</f>
        <v>#REF!</v>
      </c>
    </row>
  </sheetData>
  <mergeCells count="3">
    <mergeCell ref="A2:B2"/>
    <mergeCell ref="A3:B3"/>
    <mergeCell ref="A4:B4"/>
  </mergeCells>
  <pageMargins left="0.7" right="0.7" top="0.75" bottom="0.75" header="0.3" footer="0.3"/>
  <pageSetup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1493C-6629-4D23-9F49-D2BA8BBE2DC4}">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198</v>
      </c>
    </row>
    <row r="3" spans="2:5" x14ac:dyDescent="0.25">
      <c r="B3" t="s">
        <v>199</v>
      </c>
      <c r="C3" t="s">
        <v>200</v>
      </c>
      <c r="D3" t="s">
        <v>168</v>
      </c>
      <c r="E3" t="s">
        <v>167</v>
      </c>
    </row>
    <row r="4" spans="2:5" x14ac:dyDescent="0.25">
      <c r="B4" s="16" t="s">
        <v>201</v>
      </c>
      <c r="C4" s="24">
        <v>180</v>
      </c>
      <c r="D4" s="24">
        <v>100</v>
      </c>
      <c r="E4" s="16" t="s">
        <v>202</v>
      </c>
    </row>
    <row r="5" spans="2:5" x14ac:dyDescent="0.25">
      <c r="B5" s="16" t="s">
        <v>203</v>
      </c>
      <c r="C5" s="24">
        <v>163</v>
      </c>
      <c r="D5" s="24">
        <v>100</v>
      </c>
      <c r="E5" s="24">
        <v>85</v>
      </c>
    </row>
    <row r="6" spans="2:5" x14ac:dyDescent="0.25">
      <c r="B6" s="16" t="s">
        <v>204</v>
      </c>
      <c r="C6" s="24">
        <v>186</v>
      </c>
      <c r="D6" s="24">
        <v>100</v>
      </c>
      <c r="E6" s="24">
        <v>58</v>
      </c>
    </row>
    <row r="7" spans="2:5" x14ac:dyDescent="0.25">
      <c r="B7" s="16" t="s">
        <v>205</v>
      </c>
      <c r="C7" s="24">
        <v>92</v>
      </c>
      <c r="D7" s="24">
        <v>100</v>
      </c>
      <c r="E7" s="24">
        <v>52</v>
      </c>
    </row>
    <row r="8" spans="2:5" x14ac:dyDescent="0.25">
      <c r="B8" s="16" t="s">
        <v>206</v>
      </c>
      <c r="C8" s="24">
        <v>166</v>
      </c>
      <c r="D8" s="24">
        <v>100</v>
      </c>
      <c r="E8" s="24">
        <v>76</v>
      </c>
    </row>
    <row r="9" spans="2:5" x14ac:dyDescent="0.25">
      <c r="B9" s="16" t="s">
        <v>207</v>
      </c>
      <c r="C9" s="24">
        <v>130</v>
      </c>
      <c r="D9" s="24">
        <v>100</v>
      </c>
      <c r="E9" s="24">
        <v>75</v>
      </c>
    </row>
    <row r="10" spans="2:5" x14ac:dyDescent="0.25">
      <c r="B10" s="16" t="s">
        <v>208</v>
      </c>
      <c r="C10" s="24">
        <v>160</v>
      </c>
      <c r="D10" s="24">
        <v>100</v>
      </c>
      <c r="E10" s="24">
        <v>79</v>
      </c>
    </row>
    <row r="11" spans="2:5" x14ac:dyDescent="0.25">
      <c r="B11" s="16" t="s">
        <v>209</v>
      </c>
      <c r="C11" s="24">
        <v>120</v>
      </c>
      <c r="D11" s="24">
        <v>100</v>
      </c>
      <c r="E11" s="24">
        <v>81</v>
      </c>
    </row>
    <row r="12" spans="2:5" x14ac:dyDescent="0.25">
      <c r="B12" s="16" t="s">
        <v>210</v>
      </c>
      <c r="C12" s="24">
        <v>160</v>
      </c>
      <c r="D12" s="24">
        <v>100</v>
      </c>
      <c r="E12" s="24">
        <v>72</v>
      </c>
    </row>
    <row r="13" spans="2:5" x14ac:dyDescent="0.25">
      <c r="B13" s="16" t="s">
        <v>211</v>
      </c>
      <c r="C13" s="24">
        <v>150</v>
      </c>
      <c r="D13" s="24">
        <v>100</v>
      </c>
      <c r="E13" s="16">
        <v>55</v>
      </c>
    </row>
    <row r="14" spans="2:5" x14ac:dyDescent="0.25">
      <c r="B14" s="16" t="s">
        <v>212</v>
      </c>
      <c r="C14" s="24">
        <v>264</v>
      </c>
      <c r="D14" s="24">
        <v>100</v>
      </c>
      <c r="E14" s="24">
        <v>44</v>
      </c>
    </row>
    <row r="15" spans="2:5" x14ac:dyDescent="0.25">
      <c r="B15" s="16" t="s">
        <v>213</v>
      </c>
      <c r="C15" s="24">
        <v>178</v>
      </c>
      <c r="D15" s="24">
        <v>100</v>
      </c>
      <c r="E15" s="24">
        <v>108</v>
      </c>
    </row>
    <row r="16" spans="2:5" x14ac:dyDescent="0.25">
      <c r="B16" s="16" t="s">
        <v>214</v>
      </c>
      <c r="C16" s="24">
        <v>185</v>
      </c>
      <c r="D16" s="24">
        <v>100</v>
      </c>
      <c r="E16" s="24">
        <v>89</v>
      </c>
    </row>
    <row r="17" spans="2:5" x14ac:dyDescent="0.25">
      <c r="B17" s="16" t="s">
        <v>215</v>
      </c>
      <c r="C17" s="24">
        <v>228</v>
      </c>
      <c r="D17" s="24">
        <v>100</v>
      </c>
      <c r="E17" s="24">
        <v>76</v>
      </c>
    </row>
  </sheetData>
  <sortState xmlns:xlrd2="http://schemas.microsoft.com/office/spreadsheetml/2017/richdata2" ref="B4:E17">
    <sortCondition ref="B4:B1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1C35D-58BD-4222-A97D-ED50B4522BBE}">
  <sheetPr>
    <tabColor rgb="FFFFC000"/>
  </sheetPr>
  <dimension ref="A2:W114"/>
  <sheetViews>
    <sheetView showGridLines="0" topLeftCell="A7" zoomScale="80" zoomScaleNormal="80" zoomScaleSheetLayoutView="80" workbookViewId="0">
      <selection activeCell="E33" sqref="E33"/>
    </sheetView>
  </sheetViews>
  <sheetFormatPr defaultRowHeight="15" x14ac:dyDescent="0.25"/>
  <cols>
    <col min="1" max="1" width="14.42578125" customWidth="1"/>
    <col min="2" max="2" width="58.140625" customWidth="1"/>
    <col min="3" max="5" width="16.42578125" customWidth="1"/>
    <col min="6" max="8" width="18.2851562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772" t="s">
        <v>12</v>
      </c>
      <c r="C2" s="772"/>
      <c r="D2" s="772"/>
      <c r="E2" s="772"/>
      <c r="F2" s="772"/>
      <c r="G2" s="772"/>
      <c r="H2" s="772"/>
      <c r="I2" s="772"/>
      <c r="J2" s="772"/>
      <c r="K2" s="772"/>
      <c r="L2" s="772"/>
      <c r="M2" s="772"/>
      <c r="N2" s="772"/>
      <c r="O2" s="772"/>
    </row>
    <row r="3" spans="1:15" ht="21" x14ac:dyDescent="0.35">
      <c r="B3" s="773" t="s">
        <v>13</v>
      </c>
      <c r="C3" s="774"/>
      <c r="D3" s="774"/>
      <c r="E3" s="774"/>
      <c r="F3" s="774"/>
      <c r="G3" s="774"/>
      <c r="H3" s="774"/>
      <c r="I3" s="774"/>
      <c r="J3" s="774"/>
      <c r="K3" s="774"/>
      <c r="L3" s="774"/>
      <c r="M3" s="774"/>
      <c r="N3" s="774"/>
      <c r="O3" s="775"/>
    </row>
    <row r="4" spans="1:15" ht="21" x14ac:dyDescent="0.35">
      <c r="B4" s="776" t="s">
        <v>14</v>
      </c>
      <c r="C4" s="777"/>
      <c r="D4" s="777"/>
      <c r="E4" s="777"/>
      <c r="F4" s="777"/>
      <c r="G4" s="777"/>
      <c r="H4" s="777"/>
      <c r="I4" s="777"/>
      <c r="J4" s="777"/>
      <c r="K4" s="777"/>
      <c r="L4" s="777"/>
      <c r="M4" s="777"/>
      <c r="N4" s="777"/>
      <c r="O4" s="778"/>
    </row>
    <row r="6" spans="1:15" ht="18.75" x14ac:dyDescent="0.3">
      <c r="B6" s="779" t="s">
        <v>15</v>
      </c>
      <c r="C6" s="780"/>
      <c r="D6" s="780"/>
      <c r="E6" s="780"/>
      <c r="F6" s="780"/>
      <c r="G6" s="780"/>
      <c r="H6" s="780"/>
      <c r="I6" s="780"/>
      <c r="J6" s="780"/>
      <c r="K6" s="780"/>
      <c r="L6" s="780"/>
      <c r="M6" s="780"/>
      <c r="N6" s="780"/>
      <c r="O6" s="781"/>
    </row>
    <row r="7" spans="1:15" s="57" customFormat="1" ht="18.75" x14ac:dyDescent="0.3">
      <c r="B7" s="56"/>
      <c r="C7" s="56"/>
      <c r="D7" s="56"/>
      <c r="E7" s="56"/>
      <c r="F7" s="56"/>
      <c r="G7" s="56"/>
      <c r="H7" s="56"/>
      <c r="I7" s="56"/>
      <c r="J7" s="56"/>
      <c r="K7" s="56"/>
      <c r="L7" s="56"/>
      <c r="M7" s="56"/>
      <c r="N7" s="56"/>
      <c r="O7" s="56"/>
    </row>
    <row r="8" spans="1:15" ht="18.75" x14ac:dyDescent="0.3">
      <c r="B8" s="94" t="s">
        <v>16</v>
      </c>
      <c r="C8" s="4"/>
    </row>
    <row r="9" spans="1:15" ht="22.15" customHeight="1" x14ac:dyDescent="0.3">
      <c r="B9" s="4"/>
      <c r="C9" s="4"/>
      <c r="D9" s="4"/>
      <c r="E9" s="4"/>
      <c r="F9" s="4"/>
      <c r="G9" s="4"/>
      <c r="H9" s="4"/>
      <c r="I9" s="4"/>
      <c r="J9" s="4"/>
      <c r="K9" s="27"/>
    </row>
    <row r="10" spans="1:15" s="101" customFormat="1" ht="30" x14ac:dyDescent="0.25">
      <c r="B10" s="99" t="s">
        <v>17</v>
      </c>
      <c r="C10" s="99" t="s">
        <v>18</v>
      </c>
      <c r="D10" s="99" t="s">
        <v>19</v>
      </c>
      <c r="E10" s="99" t="s">
        <v>20</v>
      </c>
      <c r="F10" s="99" t="s">
        <v>21</v>
      </c>
      <c r="G10" s="99" t="s">
        <v>220</v>
      </c>
      <c r="H10" s="99" t="s">
        <v>240</v>
      </c>
      <c r="I10" s="100"/>
      <c r="J10" s="102"/>
    </row>
    <row r="11" spans="1:15" x14ac:dyDescent="0.25">
      <c r="B11" s="274" t="s">
        <v>22</v>
      </c>
      <c r="C11" s="275">
        <f>SUM(D11:H11)</f>
        <v>50600312.99999997</v>
      </c>
      <c r="D11" s="651">
        <f>+'FY21 Bud Payer Mix HIDE'!G29</f>
        <v>16916697.999999985</v>
      </c>
      <c r="E11" s="651">
        <f>+'FY21 Bud Payer Mix HIDE'!C40</f>
        <v>6373059.9999999991</v>
      </c>
      <c r="F11" s="651">
        <v>25791000</v>
      </c>
      <c r="G11" s="651">
        <f>-SUM(D11:F11)+'FY21 Bud Payer Mix HIDE'!G22-H11</f>
        <v>510627.9999999851</v>
      </c>
      <c r="H11" s="280">
        <f>+'FY21 Bud Payer Mix HIDE'!G57</f>
        <v>1008927</v>
      </c>
      <c r="I11" s="283" t="s">
        <v>415</v>
      </c>
      <c r="J11" s="27"/>
    </row>
    <row r="12" spans="1:15" ht="14.45" customHeight="1" x14ac:dyDescent="0.25">
      <c r="A12" s="782"/>
      <c r="B12" s="8" t="s">
        <v>57</v>
      </c>
      <c r="C12" s="89">
        <f>SUM(D12:H12)</f>
        <v>6103704</v>
      </c>
      <c r="D12" s="280">
        <f>+'FY22 Net Rev Bud HIDE'!E79</f>
        <v>1721438</v>
      </c>
      <c r="E12" s="280">
        <f>+'FY22 Net Rev Bud HIDE'!F79</f>
        <v>1467383</v>
      </c>
      <c r="F12" s="280">
        <f>+'FY22 Net Rev Bud HIDE'!G79+'FY22 Net Rev Bud HIDE'!H79</f>
        <v>2819693</v>
      </c>
      <c r="G12" s="280">
        <f>+'FY22 Net Rev Bud HIDE'!I79+'FY22 Net Rev Bud HIDE'!J79</f>
        <v>95190</v>
      </c>
      <c r="H12" s="279"/>
      <c r="L12" s="21"/>
      <c r="M12" s="22"/>
    </row>
    <row r="13" spans="1:15" x14ac:dyDescent="0.25">
      <c r="A13" s="782"/>
      <c r="B13" s="8" t="s">
        <v>58</v>
      </c>
      <c r="C13" s="89">
        <f>SUM(D13:H13)</f>
        <v>-185000</v>
      </c>
      <c r="D13" s="280"/>
      <c r="E13" s="280"/>
      <c r="F13" s="280"/>
      <c r="G13" s="280"/>
      <c r="H13" s="93">
        <v>-185000</v>
      </c>
      <c r="I13" s="652" t="s">
        <v>413</v>
      </c>
      <c r="L13" s="21"/>
      <c r="M13" s="22"/>
    </row>
    <row r="14" spans="1:15" x14ac:dyDescent="0.25">
      <c r="A14" s="782"/>
      <c r="B14" s="8" t="s">
        <v>59</v>
      </c>
      <c r="C14" s="89">
        <f>SUM(D14:H14)</f>
        <v>-4734959.9999999693</v>
      </c>
      <c r="D14" s="280">
        <f>+'FY22 Net Rev Bud HIDE'!E82</f>
        <v>808458.0000000149</v>
      </c>
      <c r="E14" s="280">
        <f>+'FY22 Net Rev Bud HIDE'!F82-823927</f>
        <v>-2149772.9999999991</v>
      </c>
      <c r="F14" s="280">
        <f>+'FY22 Net Rev Bud HIDE'!G82+'FY22 Net Rev Bud HIDE'!H82</f>
        <v>-354929</v>
      </c>
      <c r="G14" s="280">
        <f>+'FY22 Net Rev Bud HIDE'!I82+'FY22 Net Rev Bud HIDE'!J82-G19-G20</f>
        <v>-3038715.9999999851</v>
      </c>
      <c r="H14" s="280"/>
      <c r="I14" s="652" t="s">
        <v>413</v>
      </c>
      <c r="L14" s="21"/>
      <c r="M14" s="22"/>
    </row>
    <row r="15" spans="1:15" x14ac:dyDescent="0.25">
      <c r="A15" s="782"/>
      <c r="B15" s="8" t="s">
        <v>60</v>
      </c>
      <c r="C15" s="89">
        <f t="shared" ref="C15:C19" si="0">SUM(D15:H15)</f>
        <v>0</v>
      </c>
      <c r="D15" s="279"/>
      <c r="E15" s="279"/>
      <c r="F15" s="93"/>
      <c r="G15" s="93"/>
      <c r="H15" s="93"/>
      <c r="I15" s="652"/>
      <c r="L15" s="21"/>
      <c r="M15" s="22"/>
    </row>
    <row r="16" spans="1:15" x14ac:dyDescent="0.25">
      <c r="A16" s="782"/>
      <c r="B16" s="10" t="s">
        <v>25</v>
      </c>
      <c r="C16" s="89">
        <f t="shared" si="0"/>
        <v>0</v>
      </c>
      <c r="D16" s="279"/>
      <c r="E16" s="279"/>
      <c r="F16" s="281"/>
      <c r="G16" s="281"/>
      <c r="H16" s="281"/>
      <c r="I16" s="652"/>
      <c r="L16" s="21"/>
      <c r="M16" s="22"/>
    </row>
    <row r="17" spans="1:23" x14ac:dyDescent="0.25">
      <c r="A17" s="782"/>
      <c r="B17" s="10" t="s">
        <v>26</v>
      </c>
      <c r="C17" s="89">
        <f t="shared" si="0"/>
        <v>0</v>
      </c>
      <c r="D17" s="279"/>
      <c r="E17" s="279"/>
      <c r="F17" s="93"/>
      <c r="G17" s="93"/>
      <c r="H17" s="93"/>
      <c r="I17" s="652"/>
      <c r="L17" s="21"/>
      <c r="M17" s="22"/>
    </row>
    <row r="18" spans="1:23" x14ac:dyDescent="0.25">
      <c r="A18" s="782"/>
      <c r="B18" s="10" t="s">
        <v>27</v>
      </c>
      <c r="C18" s="89">
        <f t="shared" si="0"/>
        <v>0</v>
      </c>
      <c r="D18" s="279"/>
      <c r="E18" s="279"/>
      <c r="F18" s="93"/>
      <c r="G18" s="93"/>
      <c r="H18" s="93"/>
      <c r="I18" s="652"/>
      <c r="L18" s="21"/>
      <c r="M18" s="22"/>
    </row>
    <row r="19" spans="1:23" x14ac:dyDescent="0.25">
      <c r="A19" s="782"/>
      <c r="B19" s="10" t="s">
        <v>61</v>
      </c>
      <c r="C19" s="89">
        <f t="shared" si="0"/>
        <v>2450000</v>
      </c>
      <c r="D19" s="279"/>
      <c r="E19" s="279"/>
      <c r="F19" s="93"/>
      <c r="G19" s="93">
        <v>2450000</v>
      </c>
      <c r="H19" s="93">
        <v>0</v>
      </c>
      <c r="I19" s="652" t="s">
        <v>413</v>
      </c>
      <c r="L19" s="21"/>
      <c r="M19" s="22"/>
    </row>
    <row r="20" spans="1:23" x14ac:dyDescent="0.25">
      <c r="B20" s="88" t="s">
        <v>248</v>
      </c>
      <c r="C20" s="89">
        <f>SUM(D20:H20)</f>
        <v>335000</v>
      </c>
      <c r="D20" s="279"/>
      <c r="E20" s="279"/>
      <c r="F20" s="281"/>
      <c r="G20" s="281">
        <v>335000</v>
      </c>
      <c r="H20" s="281">
        <v>0</v>
      </c>
      <c r="I20" s="652" t="s">
        <v>413</v>
      </c>
      <c r="O20" s="21"/>
      <c r="P20" s="22"/>
    </row>
    <row r="21" spans="1:23" x14ac:dyDescent="0.25">
      <c r="B21" s="88" t="s">
        <v>285</v>
      </c>
      <c r="C21" s="270">
        <f>SUM(D21:H21)</f>
        <v>0</v>
      </c>
      <c r="D21" s="279"/>
      <c r="E21" s="279"/>
      <c r="F21" s="633"/>
      <c r="G21" s="633"/>
      <c r="H21" s="633"/>
      <c r="O21" s="21"/>
      <c r="P21" s="22"/>
    </row>
    <row r="22" spans="1:23" x14ac:dyDescent="0.25">
      <c r="B22" s="88" t="s">
        <v>28</v>
      </c>
      <c r="C22" s="270"/>
      <c r="D22" s="279"/>
      <c r="E22" s="279"/>
      <c r="F22" s="281"/>
      <c r="G22" s="281"/>
      <c r="H22" s="281"/>
      <c r="O22" s="21"/>
      <c r="P22" s="22"/>
    </row>
    <row r="23" spans="1:23" x14ac:dyDescent="0.25">
      <c r="B23" s="11" t="s">
        <v>29</v>
      </c>
      <c r="C23" s="6">
        <f t="shared" ref="C23:H23" si="1">SUM(C11:C22)</f>
        <v>54569057</v>
      </c>
      <c r="D23" s="6">
        <f>SUM(D11:D22)</f>
        <v>19446594</v>
      </c>
      <c r="E23" s="6">
        <f t="shared" si="1"/>
        <v>5690670</v>
      </c>
      <c r="F23" s="6">
        <f t="shared" si="1"/>
        <v>28255764</v>
      </c>
      <c r="G23" s="6">
        <f t="shared" si="1"/>
        <v>352102</v>
      </c>
      <c r="H23" s="6">
        <f t="shared" si="1"/>
        <v>823927</v>
      </c>
      <c r="I23" s="14">
        <f>+E23+F23</f>
        <v>33946434</v>
      </c>
      <c r="J23">
        <v>32355285</v>
      </c>
      <c r="K23" s="14">
        <f>+I23-J23</f>
        <v>1591149</v>
      </c>
      <c r="O23" s="21"/>
      <c r="P23" s="22"/>
    </row>
    <row r="24" spans="1:23" x14ac:dyDescent="0.25">
      <c r="C24" s="99"/>
      <c r="D24" s="99"/>
      <c r="E24" s="99"/>
      <c r="F24" s="99"/>
      <c r="G24" s="99"/>
      <c r="H24" s="99"/>
      <c r="I24" s="276"/>
      <c r="J24" s="23"/>
      <c r="O24" s="21"/>
      <c r="P24" s="22"/>
    </row>
    <row r="25" spans="1:23" x14ac:dyDescent="0.25">
      <c r="B25" s="28" t="s">
        <v>30</v>
      </c>
      <c r="C25" s="65">
        <f>+C23-C11</f>
        <v>3968744.0000000298</v>
      </c>
      <c r="D25" s="19">
        <f t="shared" ref="D25:H25" si="2">+D23-D11</f>
        <v>2529896.0000000149</v>
      </c>
      <c r="E25" s="19">
        <f t="shared" si="2"/>
        <v>-682389.99999999907</v>
      </c>
      <c r="F25" s="19">
        <f t="shared" si="2"/>
        <v>2464764</v>
      </c>
      <c r="G25" s="19">
        <f t="shared" si="2"/>
        <v>-158525.9999999851</v>
      </c>
      <c r="H25" s="19">
        <f t="shared" si="2"/>
        <v>-185000</v>
      </c>
      <c r="I25" s="14"/>
      <c r="O25" s="21"/>
      <c r="P25" s="22"/>
    </row>
    <row r="26" spans="1:23" x14ac:dyDescent="0.25">
      <c r="B26" s="54" t="s">
        <v>31</v>
      </c>
      <c r="C26" s="657">
        <f>(C25)/C11</f>
        <v>7.8433190719591636E-2</v>
      </c>
      <c r="D26" s="657">
        <f t="shared" ref="D26:H26" si="3">(D25)/D11</f>
        <v>0.14955022546362282</v>
      </c>
      <c r="E26" s="657">
        <f t="shared" si="3"/>
        <v>-0.10707415276178149</v>
      </c>
      <c r="F26" s="657">
        <f t="shared" si="3"/>
        <v>9.5566825636850067E-2</v>
      </c>
      <c r="G26" s="657">
        <f t="shared" si="3"/>
        <v>-0.31045301080236437</v>
      </c>
      <c r="H26" s="657">
        <f t="shared" si="3"/>
        <v>-0.18336311745051923</v>
      </c>
      <c r="O26" s="21"/>
      <c r="P26" s="22"/>
    </row>
    <row r="27" spans="1:23" x14ac:dyDescent="0.25">
      <c r="B27" s="207"/>
      <c r="C27" s="207"/>
      <c r="D27" s="207"/>
      <c r="E27" s="207"/>
      <c r="F27" s="207"/>
      <c r="G27" s="207"/>
      <c r="H27" s="207"/>
      <c r="I27" s="207"/>
      <c r="O27" s="21"/>
      <c r="P27" s="22"/>
    </row>
    <row r="28" spans="1:23" x14ac:dyDescent="0.25">
      <c r="B28" s="28" t="s">
        <v>32</v>
      </c>
      <c r="C28" s="65">
        <f>'5. Vaccine Clinics and Testing'!D23</f>
        <v>0</v>
      </c>
      <c r="D28" s="60"/>
      <c r="E28" s="60"/>
      <c r="F28" s="60"/>
      <c r="G28" s="60"/>
      <c r="H28" s="60"/>
      <c r="O28" s="21"/>
      <c r="P28" s="22"/>
    </row>
    <row r="29" spans="1:23" ht="30" x14ac:dyDescent="0.25">
      <c r="B29" s="208" t="s">
        <v>33</v>
      </c>
      <c r="C29" s="209">
        <f>C23-C28</f>
        <v>54569057</v>
      </c>
      <c r="D29" s="97"/>
      <c r="E29" s="97"/>
      <c r="H29" s="276">
        <f>SUM(C13:C20)</f>
        <v>-2134959.9999999693</v>
      </c>
      <c r="I29" s="283" t="s">
        <v>414</v>
      </c>
      <c r="J29" s="283"/>
      <c r="K29" s="653"/>
      <c r="L29" s="653"/>
      <c r="M29" s="14"/>
      <c r="N29" s="23"/>
      <c r="V29" s="21"/>
      <c r="W29" s="22"/>
    </row>
    <row r="30" spans="1:23" x14ac:dyDescent="0.25">
      <c r="B30" s="207"/>
      <c r="C30" s="278"/>
      <c r="D30" s="15"/>
      <c r="E30" s="15"/>
      <c r="H30" s="201">
        <f>+'INCOME STATEMENT 0% INCR HIDE'!K13</f>
        <v>-2135553.9367379099</v>
      </c>
      <c r="I30" s="283" t="s">
        <v>516</v>
      </c>
      <c r="J30" s="283"/>
      <c r="K30" s="653"/>
      <c r="L30" s="653"/>
      <c r="M30" s="14"/>
      <c r="N30" s="23"/>
      <c r="V30" s="21"/>
      <c r="W30" s="22"/>
    </row>
    <row r="31" spans="1:23" x14ac:dyDescent="0.25">
      <c r="B31" s="28" t="s">
        <v>536</v>
      </c>
      <c r="C31" s="65">
        <f>C29-C11</f>
        <v>3968744.0000000298</v>
      </c>
      <c r="D31" s="15"/>
      <c r="E31" s="15"/>
      <c r="H31" s="737"/>
      <c r="O31" s="21"/>
      <c r="P31" s="22"/>
    </row>
    <row r="32" spans="1:23" x14ac:dyDescent="0.25">
      <c r="B32" s="54" t="s">
        <v>35</v>
      </c>
      <c r="C32" s="657">
        <f>(C31)/C11</f>
        <v>7.8433190719591636E-2</v>
      </c>
      <c r="D32" s="15"/>
      <c r="E32" s="15"/>
      <c r="O32" s="21"/>
      <c r="P32" s="22"/>
    </row>
    <row r="33" spans="2:23" x14ac:dyDescent="0.25">
      <c r="B33" s="207"/>
      <c r="C33" s="277"/>
      <c r="D33" s="60"/>
      <c r="E33" s="60"/>
      <c r="F33" s="60"/>
      <c r="G33" s="60"/>
      <c r="H33" s="60"/>
      <c r="O33" s="21"/>
      <c r="P33" s="22"/>
    </row>
    <row r="34" spans="2:23" ht="28.15" customHeight="1" x14ac:dyDescent="0.3">
      <c r="B34" s="94" t="s">
        <v>36</v>
      </c>
      <c r="C34" s="4"/>
      <c r="D34" s="15"/>
      <c r="E34" s="15"/>
      <c r="V34" s="21"/>
      <c r="W34" s="22"/>
    </row>
    <row r="35" spans="2:23" ht="18.75" x14ac:dyDescent="0.3">
      <c r="B35" s="94"/>
      <c r="C35" s="4"/>
      <c r="D35" s="15"/>
      <c r="E35" s="15"/>
      <c r="V35" s="21"/>
      <c r="W35" s="22"/>
    </row>
    <row r="36" spans="2:23" s="87" customFormat="1" x14ac:dyDescent="0.25">
      <c r="B36" s="96" t="s">
        <v>37</v>
      </c>
      <c r="C36" s="96" t="s">
        <v>38</v>
      </c>
      <c r="D36" s="96" t="s">
        <v>39</v>
      </c>
      <c r="E36" s="51"/>
      <c r="V36" s="97"/>
      <c r="W36" s="98"/>
    </row>
    <row r="37" spans="2:23" x14ac:dyDescent="0.25">
      <c r="B37" s="5" t="s">
        <v>40</v>
      </c>
      <c r="C37" s="89">
        <v>51668117</v>
      </c>
      <c r="D37" s="7"/>
      <c r="E37" s="60"/>
      <c r="V37" s="21"/>
      <c r="W37" s="22"/>
    </row>
    <row r="38" spans="2:23" x14ac:dyDescent="0.25">
      <c r="B38" s="8" t="s">
        <v>41</v>
      </c>
      <c r="C38" s="279">
        <v>796000</v>
      </c>
      <c r="D38" s="9">
        <f>+C38/C$37</f>
        <v>1.5406019151036605E-2</v>
      </c>
      <c r="E38" s="332" t="s">
        <v>300</v>
      </c>
      <c r="H38" t="s">
        <v>301</v>
      </c>
      <c r="V38" s="21"/>
    </row>
    <row r="39" spans="2:23" x14ac:dyDescent="0.25">
      <c r="B39" s="10" t="s">
        <v>42</v>
      </c>
      <c r="C39" s="344">
        <f>+'4. Inflation'!D16</f>
        <v>843070</v>
      </c>
      <c r="D39" s="9">
        <f t="shared" ref="D39:D51" si="4">+C39/C$37</f>
        <v>1.6317025836261847E-2</v>
      </c>
      <c r="E39" s="264" t="s">
        <v>241</v>
      </c>
      <c r="V39" s="21"/>
    </row>
    <row r="40" spans="2:23" x14ac:dyDescent="0.25">
      <c r="B40" s="10" t="s">
        <v>43</v>
      </c>
      <c r="C40" s="279"/>
      <c r="D40" s="9">
        <f t="shared" si="4"/>
        <v>0</v>
      </c>
      <c r="E40" s="52"/>
      <c r="V40" s="21"/>
    </row>
    <row r="41" spans="2:23" x14ac:dyDescent="0.25">
      <c r="B41" s="10" t="s">
        <v>44</v>
      </c>
      <c r="C41" s="279">
        <f>451282-'4. Inflation'!D11</f>
        <v>286436</v>
      </c>
      <c r="D41" s="9">
        <f t="shared" si="4"/>
        <v>5.5437669617416094E-3</v>
      </c>
      <c r="E41" s="52"/>
      <c r="V41" s="21"/>
    </row>
    <row r="42" spans="2:23" x14ac:dyDescent="0.25">
      <c r="B42" s="10" t="s">
        <v>45</v>
      </c>
      <c r="C42" s="279">
        <v>921189</v>
      </c>
      <c r="D42" s="9">
        <f t="shared" si="4"/>
        <v>1.7828964039854598E-2</v>
      </c>
      <c r="E42" s="52"/>
      <c r="F42" s="345"/>
      <c r="G42" s="345"/>
      <c r="V42" s="21"/>
    </row>
    <row r="43" spans="2:23" x14ac:dyDescent="0.25">
      <c r="B43" s="10" t="s">
        <v>46</v>
      </c>
      <c r="C43" s="279">
        <v>355000</v>
      </c>
      <c r="D43" s="9">
        <f t="shared" si="4"/>
        <v>6.8707748726356717E-3</v>
      </c>
      <c r="E43" s="52"/>
      <c r="F43" s="345"/>
      <c r="G43" s="345"/>
      <c r="V43" s="21"/>
    </row>
    <row r="44" spans="2:23" x14ac:dyDescent="0.25">
      <c r="B44" s="10" t="s">
        <v>47</v>
      </c>
      <c r="C44" s="279"/>
      <c r="D44" s="9">
        <f t="shared" si="4"/>
        <v>0</v>
      </c>
      <c r="E44" s="52"/>
      <c r="F44" s="345"/>
      <c r="G44" s="345"/>
    </row>
    <row r="45" spans="2:23" x14ac:dyDescent="0.25">
      <c r="B45" s="10" t="s">
        <v>48</v>
      </c>
      <c r="C45" s="279">
        <v>-242817</v>
      </c>
      <c r="D45" s="9">
        <f t="shared" si="4"/>
        <v>-4.6995519499965516E-3</v>
      </c>
      <c r="E45" s="52"/>
      <c r="F45" s="345"/>
      <c r="G45" s="345"/>
    </row>
    <row r="46" spans="2:23" x14ac:dyDescent="0.25">
      <c r="B46" s="10" t="s">
        <v>49</v>
      </c>
      <c r="C46" s="279"/>
      <c r="D46" s="9">
        <f>+C46/C$37</f>
        <v>0</v>
      </c>
      <c r="E46" s="78"/>
      <c r="F46" s="345"/>
      <c r="G46" s="345"/>
    </row>
    <row r="47" spans="2:23" x14ac:dyDescent="0.25">
      <c r="B47" s="88" t="s">
        <v>302</v>
      </c>
      <c r="C47" s="279">
        <v>-638793</v>
      </c>
      <c r="D47" s="9">
        <f t="shared" ref="D47:D48" si="5">+C47/C$37</f>
        <v>-1.2363388431593124E-2</v>
      </c>
      <c r="E47" s="52"/>
      <c r="F47" s="345"/>
      <c r="G47" s="345"/>
    </row>
    <row r="48" spans="2:23" x14ac:dyDescent="0.25">
      <c r="B48" s="88" t="s">
        <v>289</v>
      </c>
      <c r="C48" s="279">
        <f>451282-'4. Inflation'!D13</f>
        <v>258921</v>
      </c>
      <c r="D48" s="9">
        <f t="shared" si="5"/>
        <v>5.0112335233738056E-3</v>
      </c>
      <c r="E48" s="52"/>
      <c r="F48" s="345"/>
      <c r="G48" s="345"/>
    </row>
    <row r="49" spans="2:23" x14ac:dyDescent="0.25">
      <c r="B49" s="88" t="s">
        <v>304</v>
      </c>
      <c r="C49" s="279">
        <v>-39204</v>
      </c>
      <c r="D49" s="9">
        <f t="shared" si="4"/>
        <v>-7.5876579748396873E-4</v>
      </c>
      <c r="E49" s="52"/>
    </row>
    <row r="50" spans="2:23" x14ac:dyDescent="0.25">
      <c r="B50" s="88" t="s">
        <v>28</v>
      </c>
      <c r="C50" s="279">
        <f>55043929-SUM(C37:C49)</f>
        <v>836010</v>
      </c>
      <c r="D50" s="9">
        <f t="shared" si="4"/>
        <v>1.618038451062577E-2</v>
      </c>
      <c r="E50" s="52"/>
    </row>
    <row r="51" spans="2:23" x14ac:dyDescent="0.25">
      <c r="B51" s="88" t="s">
        <v>50</v>
      </c>
      <c r="C51" s="279"/>
      <c r="D51" s="9">
        <f t="shared" si="4"/>
        <v>0</v>
      </c>
      <c r="E51" s="52"/>
    </row>
    <row r="52" spans="2:23" x14ac:dyDescent="0.25">
      <c r="B52" s="11" t="s">
        <v>51</v>
      </c>
      <c r="C52" s="12">
        <f>SUM(C37:C51)</f>
        <v>55043929</v>
      </c>
      <c r="D52" s="13">
        <f>SUM(D38:D51)</f>
        <v>6.5336462716456267E-2</v>
      </c>
      <c r="E52" s="333">
        <v>55043929.297434561</v>
      </c>
      <c r="F52" s="334">
        <f>+E52-C52</f>
        <v>0.29743456095457077</v>
      </c>
    </row>
    <row r="53" spans="2:23" x14ac:dyDescent="0.25">
      <c r="B53" s="85"/>
      <c r="C53" s="86"/>
      <c r="D53" s="78"/>
      <c r="E53" s="78"/>
    </row>
    <row r="54" spans="2:23" x14ac:dyDescent="0.25">
      <c r="B54" s="28" t="s">
        <v>30</v>
      </c>
      <c r="C54" s="65">
        <f>+C52-C37</f>
        <v>3375812</v>
      </c>
      <c r="D54" s="78"/>
      <c r="E54" s="78"/>
    </row>
    <row r="55" spans="2:23" x14ac:dyDescent="0.25">
      <c r="B55" s="54" t="s">
        <v>31</v>
      </c>
      <c r="C55" s="657">
        <f>(C54)/C37</f>
        <v>6.5336462716456267E-2</v>
      </c>
      <c r="D55" s="78"/>
      <c r="E55" s="78"/>
    </row>
    <row r="56" spans="2:23" x14ac:dyDescent="0.25">
      <c r="B56" s="207"/>
      <c r="C56" s="60"/>
      <c r="D56" s="60"/>
      <c r="E56" s="60"/>
      <c r="F56" s="60"/>
      <c r="G56" s="60"/>
      <c r="H56" s="60"/>
      <c r="O56" s="21"/>
      <c r="P56" s="22"/>
    </row>
    <row r="57" spans="2:23" x14ac:dyDescent="0.25">
      <c r="B57" s="28" t="s">
        <v>32</v>
      </c>
      <c r="C57" s="65">
        <f>'5. Vaccine Clinics and Testing'!D36</f>
        <v>561000</v>
      </c>
      <c r="D57" s="60"/>
      <c r="E57" s="60"/>
      <c r="F57" s="60"/>
      <c r="G57" s="60"/>
      <c r="H57" s="60"/>
      <c r="O57" s="21"/>
      <c r="P57" s="22"/>
    </row>
    <row r="58" spans="2:23" ht="30" x14ac:dyDescent="0.25">
      <c r="B58" s="208" t="s">
        <v>33</v>
      </c>
      <c r="C58" s="209">
        <f>C52-C57</f>
        <v>54482929</v>
      </c>
      <c r="D58" s="15"/>
      <c r="E58" s="15"/>
      <c r="K58" s="22"/>
      <c r="L58" s="22"/>
      <c r="M58" s="14"/>
      <c r="N58" s="23"/>
      <c r="V58" s="21"/>
      <c r="W58" s="22"/>
    </row>
    <row r="59" spans="2:23" x14ac:dyDescent="0.25">
      <c r="B59" s="207"/>
      <c r="C59" s="60"/>
      <c r="D59" s="15"/>
      <c r="E59" s="15"/>
      <c r="K59" s="22"/>
      <c r="L59" s="22"/>
      <c r="M59" s="14"/>
      <c r="N59" s="23"/>
      <c r="V59" s="21"/>
      <c r="W59" s="22"/>
    </row>
    <row r="60" spans="2:23" x14ac:dyDescent="0.25">
      <c r="B60" s="28" t="s">
        <v>34</v>
      </c>
      <c r="C60" s="65">
        <f>C58-C37</f>
        <v>2814812</v>
      </c>
      <c r="D60" s="15"/>
      <c r="E60" s="15"/>
      <c r="O60" s="21"/>
      <c r="P60" s="22"/>
    </row>
    <row r="61" spans="2:23" x14ac:dyDescent="0.25">
      <c r="B61" s="54" t="s">
        <v>35</v>
      </c>
      <c r="C61" s="657">
        <f>(C60)/C37</f>
        <v>5.4478702988150315E-2</v>
      </c>
      <c r="D61" s="15"/>
      <c r="E61" s="15"/>
      <c r="O61" s="21"/>
      <c r="P61" s="22"/>
    </row>
    <row r="62" spans="2:23" x14ac:dyDescent="0.25">
      <c r="B62" s="207"/>
      <c r="C62" s="60"/>
      <c r="D62" s="60"/>
      <c r="E62" s="60"/>
      <c r="F62" s="60"/>
      <c r="G62" s="60"/>
      <c r="H62" s="60"/>
      <c r="O62" s="21"/>
      <c r="P62" s="22"/>
    </row>
    <row r="64" spans="2:23" ht="18.75" x14ac:dyDescent="0.3">
      <c r="B64" s="779" t="s">
        <v>52</v>
      </c>
      <c r="C64" s="780"/>
      <c r="D64" s="780"/>
      <c r="E64" s="780"/>
      <c r="F64" s="780"/>
      <c r="G64" s="780"/>
      <c r="H64" s="780"/>
      <c r="I64" s="780"/>
      <c r="J64" s="780"/>
      <c r="K64" s="780"/>
      <c r="L64" s="780"/>
      <c r="M64" s="780"/>
      <c r="N64" s="780"/>
      <c r="O64" s="781"/>
      <c r="V64" s="21"/>
      <c r="W64" s="22"/>
    </row>
    <row r="65" spans="1:13" x14ac:dyDescent="0.25">
      <c r="B65" s="17"/>
    </row>
    <row r="66" spans="1:13" ht="18.75" x14ac:dyDescent="0.3">
      <c r="B66" s="94" t="s">
        <v>53</v>
      </c>
      <c r="C66" s="4"/>
    </row>
    <row r="67" spans="1:13" ht="18.75" x14ac:dyDescent="0.3">
      <c r="B67" s="94"/>
      <c r="C67" s="4"/>
    </row>
    <row r="68" spans="1:13" ht="18.75" x14ac:dyDescent="0.3">
      <c r="B68" s="94" t="s">
        <v>54</v>
      </c>
      <c r="C68" s="346" t="s">
        <v>55</v>
      </c>
    </row>
    <row r="69" spans="1:13" s="87" customFormat="1" ht="30" x14ac:dyDescent="0.25">
      <c r="B69" s="95" t="s">
        <v>17</v>
      </c>
      <c r="C69" s="95" t="s">
        <v>18</v>
      </c>
      <c r="D69" s="95" t="s">
        <v>19</v>
      </c>
      <c r="E69" s="95" t="s">
        <v>20</v>
      </c>
      <c r="F69" s="95" t="s">
        <v>21</v>
      </c>
      <c r="G69" s="95" t="s">
        <v>220</v>
      </c>
      <c r="H69" s="95" t="s">
        <v>240</v>
      </c>
    </row>
    <row r="70" spans="1:13" x14ac:dyDescent="0.25">
      <c r="B70" s="5" t="s">
        <v>56</v>
      </c>
      <c r="C70" s="89">
        <f>SUM(D70:H70)</f>
        <v>45213000</v>
      </c>
      <c r="D70" s="268">
        <v>10976000</v>
      </c>
      <c r="E70" s="89">
        <f>6076000-824000</f>
        <v>5252000</v>
      </c>
      <c r="F70" s="89">
        <v>28182000</v>
      </c>
      <c r="G70" s="89">
        <v>-21000</v>
      </c>
      <c r="H70" s="89">
        <v>824000</v>
      </c>
      <c r="I70" s="654">
        <v>45212645</v>
      </c>
      <c r="J70" s="276">
        <f>+I70-C70</f>
        <v>-355</v>
      </c>
      <c r="K70" s="735" t="s">
        <v>534</v>
      </c>
    </row>
    <row r="71" spans="1:13" ht="14.45" customHeight="1" x14ac:dyDescent="0.25">
      <c r="A71" s="771"/>
      <c r="B71" s="8" t="s">
        <v>57</v>
      </c>
      <c r="C71" s="89">
        <f>SUM(D71:H71)</f>
        <v>6103000</v>
      </c>
      <c r="D71" s="282">
        <v>1721000</v>
      </c>
      <c r="E71" s="270">
        <v>1467000</v>
      </c>
      <c r="F71" s="271">
        <v>2820000</v>
      </c>
      <c r="G71" s="271">
        <v>95000</v>
      </c>
      <c r="H71" s="271"/>
      <c r="I71" s="283" t="s">
        <v>535</v>
      </c>
      <c r="L71" s="21"/>
      <c r="M71" s="22"/>
    </row>
    <row r="72" spans="1:13" x14ac:dyDescent="0.25">
      <c r="A72" s="771"/>
      <c r="B72" s="8" t="s">
        <v>58</v>
      </c>
      <c r="C72" s="89">
        <f>SUM(D72:H72)</f>
        <v>0</v>
      </c>
      <c r="D72" s="269"/>
      <c r="E72" s="270"/>
      <c r="F72" s="271"/>
      <c r="G72" s="271"/>
      <c r="H72" s="271"/>
      <c r="L72" s="21"/>
      <c r="M72" s="22"/>
    </row>
    <row r="73" spans="1:13" x14ac:dyDescent="0.25">
      <c r="A73" s="771"/>
      <c r="B73" s="8" t="s">
        <v>59</v>
      </c>
      <c r="C73" s="89">
        <f>SUM(D73:H73)</f>
        <v>3608000</v>
      </c>
      <c r="D73" s="269">
        <f>ROUND(+D23-D70-D71-D78-D79,-3)</f>
        <v>6750000</v>
      </c>
      <c r="E73" s="269">
        <f t="shared" ref="E73:G73" si="6">ROUND(+E23-E70-E71-E78-E79,-3)</f>
        <v>-1028000</v>
      </c>
      <c r="F73" s="269">
        <f t="shared" si="6"/>
        <v>-2746000</v>
      </c>
      <c r="G73" s="269">
        <f t="shared" si="6"/>
        <v>632000</v>
      </c>
      <c r="H73" s="271"/>
      <c r="I73" s="283" t="s">
        <v>251</v>
      </c>
      <c r="L73" s="21"/>
      <c r="M73" s="22"/>
    </row>
    <row r="74" spans="1:13" x14ac:dyDescent="0.25">
      <c r="A74" s="771"/>
      <c r="B74" s="8" t="s">
        <v>60</v>
      </c>
      <c r="C74" s="89">
        <f t="shared" ref="C74:C81" si="7">SUM(D74:H74)</f>
        <v>0</v>
      </c>
      <c r="D74" s="269"/>
      <c r="E74" s="270"/>
      <c r="F74" s="271"/>
      <c r="G74" s="271"/>
      <c r="H74" s="271"/>
      <c r="L74" s="21"/>
      <c r="M74" s="22"/>
    </row>
    <row r="75" spans="1:13" x14ac:dyDescent="0.25">
      <c r="B75" s="10" t="s">
        <v>25</v>
      </c>
      <c r="C75" s="89">
        <f t="shared" si="7"/>
        <v>0</v>
      </c>
      <c r="D75" s="269"/>
      <c r="E75" s="270"/>
      <c r="F75" s="272"/>
      <c r="G75" s="272"/>
      <c r="H75" s="272"/>
      <c r="L75" s="21"/>
      <c r="M75" s="22"/>
    </row>
    <row r="76" spans="1:13" x14ac:dyDescent="0.25">
      <c r="B76" s="10" t="s">
        <v>26</v>
      </c>
      <c r="C76" s="89">
        <f t="shared" si="7"/>
        <v>0</v>
      </c>
      <c r="D76" s="269"/>
      <c r="E76" s="270"/>
      <c r="F76" s="271"/>
      <c r="G76" s="271"/>
      <c r="H76" s="271"/>
      <c r="L76" s="21"/>
      <c r="M76" s="22"/>
    </row>
    <row r="77" spans="1:13" x14ac:dyDescent="0.25">
      <c r="B77" s="10" t="s">
        <v>27</v>
      </c>
      <c r="C77" s="89">
        <f t="shared" si="7"/>
        <v>0</v>
      </c>
      <c r="D77" s="269"/>
      <c r="E77" s="270"/>
      <c r="F77" s="271"/>
      <c r="G77" s="271"/>
      <c r="H77" s="271"/>
      <c r="L77" s="21"/>
      <c r="M77" s="22"/>
    </row>
    <row r="78" spans="1:13" x14ac:dyDescent="0.25">
      <c r="B78" s="10" t="s">
        <v>61</v>
      </c>
      <c r="C78" s="89">
        <f t="shared" si="7"/>
        <v>-354000</v>
      </c>
      <c r="D78" s="269"/>
      <c r="E78" s="270"/>
      <c r="F78" s="271"/>
      <c r="G78" s="271">
        <v>-354000</v>
      </c>
      <c r="H78" s="271"/>
      <c r="I78" s="283" t="s">
        <v>250</v>
      </c>
      <c r="L78" s="21"/>
      <c r="M78" s="22"/>
    </row>
    <row r="79" spans="1:13" x14ac:dyDescent="0.25">
      <c r="B79" s="88" t="s">
        <v>28</v>
      </c>
      <c r="C79" s="89">
        <f t="shared" si="7"/>
        <v>0</v>
      </c>
      <c r="D79" s="269"/>
      <c r="E79" s="270"/>
      <c r="F79" s="272"/>
      <c r="G79" s="272"/>
      <c r="H79" s="272"/>
      <c r="L79" s="21"/>
      <c r="M79" s="22"/>
    </row>
    <row r="80" spans="1:13" x14ac:dyDescent="0.25">
      <c r="B80" s="88" t="s">
        <v>28</v>
      </c>
      <c r="C80" s="89">
        <f t="shared" si="7"/>
        <v>0</v>
      </c>
      <c r="D80" s="269"/>
      <c r="E80" s="270"/>
      <c r="F80" s="272"/>
      <c r="G80" s="272"/>
      <c r="H80" s="272"/>
      <c r="L80" s="21"/>
      <c r="M80" s="22"/>
    </row>
    <row r="81" spans="2:23" x14ac:dyDescent="0.25">
      <c r="B81" s="88" t="s">
        <v>28</v>
      </c>
      <c r="C81" s="89">
        <f t="shared" si="7"/>
        <v>0</v>
      </c>
      <c r="D81" s="90"/>
      <c r="E81" s="91"/>
      <c r="F81" s="92"/>
      <c r="G81" s="92"/>
      <c r="H81" s="92"/>
      <c r="L81" s="21"/>
      <c r="M81" s="22"/>
    </row>
    <row r="82" spans="2:23" x14ac:dyDescent="0.25">
      <c r="B82" s="11" t="s">
        <v>29</v>
      </c>
      <c r="C82" s="6">
        <f t="shared" ref="C82:H82" si="8">SUM(C70:C81)</f>
        <v>54570000</v>
      </c>
      <c r="D82" s="53">
        <f t="shared" si="8"/>
        <v>19447000</v>
      </c>
      <c r="E82" s="53">
        <f t="shared" si="8"/>
        <v>5691000</v>
      </c>
      <c r="F82" s="53">
        <f t="shared" si="8"/>
        <v>28256000</v>
      </c>
      <c r="G82" s="53">
        <f t="shared" si="8"/>
        <v>352000</v>
      </c>
      <c r="H82" s="53">
        <f t="shared" si="8"/>
        <v>824000</v>
      </c>
      <c r="L82" s="21"/>
      <c r="M82" s="22"/>
    </row>
    <row r="83" spans="2:23" ht="30" x14ac:dyDescent="0.25">
      <c r="C83" s="99" t="s">
        <v>18</v>
      </c>
      <c r="D83" s="99" t="s">
        <v>19</v>
      </c>
      <c r="E83" s="99" t="s">
        <v>20</v>
      </c>
      <c r="F83" s="99" t="s">
        <v>21</v>
      </c>
      <c r="G83" s="99" t="s">
        <v>220</v>
      </c>
      <c r="H83" s="99" t="s">
        <v>240</v>
      </c>
      <c r="L83" s="21"/>
      <c r="M83" s="22"/>
    </row>
    <row r="84" spans="2:23" x14ac:dyDescent="0.25">
      <c r="B84" s="28" t="s">
        <v>62</v>
      </c>
      <c r="C84" s="65">
        <f>+C82-C70</f>
        <v>9357000</v>
      </c>
      <c r="D84" s="65">
        <f t="shared" ref="D84:E84" si="9">+D82-D70</f>
        <v>8471000</v>
      </c>
      <c r="E84" s="65">
        <f t="shared" si="9"/>
        <v>439000</v>
      </c>
      <c r="F84" s="19">
        <f>+F82-F70</f>
        <v>74000</v>
      </c>
      <c r="G84" s="19">
        <f>+G82-G70</f>
        <v>373000</v>
      </c>
      <c r="H84" s="19">
        <f>+H82-H70</f>
        <v>0</v>
      </c>
      <c r="L84" s="21"/>
      <c r="M84" s="22"/>
    </row>
    <row r="85" spans="2:23" x14ac:dyDescent="0.25">
      <c r="B85" s="54" t="s">
        <v>63</v>
      </c>
      <c r="C85" s="55">
        <f>(C84)/C70</f>
        <v>0.20695375223940018</v>
      </c>
      <c r="D85" s="55">
        <f t="shared" ref="D85:H85" si="10">(D84)/D70</f>
        <v>0.77177478134110788</v>
      </c>
      <c r="E85" s="55">
        <f t="shared" si="10"/>
        <v>8.358720487433359E-2</v>
      </c>
      <c r="F85" s="55">
        <f t="shared" si="10"/>
        <v>2.6257895110354127E-3</v>
      </c>
      <c r="G85" s="55">
        <v>0</v>
      </c>
      <c r="H85" s="55">
        <f t="shared" si="10"/>
        <v>0</v>
      </c>
      <c r="L85" s="21"/>
      <c r="M85" s="22"/>
    </row>
    <row r="86" spans="2:23" x14ac:dyDescent="0.25">
      <c r="B86" s="207"/>
      <c r="C86" s="655"/>
      <c r="D86" s="15"/>
      <c r="E86" s="15"/>
      <c r="K86" s="22"/>
      <c r="L86" s="22"/>
      <c r="M86" s="14"/>
      <c r="N86" s="23"/>
      <c r="V86" s="21"/>
      <c r="W86" s="22"/>
    </row>
    <row r="87" spans="2:23" x14ac:dyDescent="0.25">
      <c r="B87" s="28" t="s">
        <v>64</v>
      </c>
      <c r="C87" s="65">
        <f>(C82-'5. Vaccine Clinics and Testing'!D23)-('1. Reconciliation'!C70-'5. Vaccine Clinics and Testing'!C23)</f>
        <v>9465853.5</v>
      </c>
      <c r="D87" s="15"/>
      <c r="E87" s="15"/>
      <c r="O87" s="21"/>
      <c r="P87" s="22"/>
    </row>
    <row r="88" spans="2:23" x14ac:dyDescent="0.25">
      <c r="B88" s="54" t="s">
        <v>65</v>
      </c>
      <c r="C88" s="55">
        <f>(C87)/(C70-'5. Vaccine Clinics and Testing'!C23)</f>
        <v>0.20986659175559391</v>
      </c>
      <c r="D88" s="15"/>
      <c r="E88" s="15"/>
      <c r="O88" s="21"/>
      <c r="P88" s="22"/>
    </row>
    <row r="89" spans="2:23" x14ac:dyDescent="0.25">
      <c r="B89" s="207"/>
      <c r="C89" s="60"/>
      <c r="D89" s="60"/>
      <c r="E89" s="60"/>
      <c r="F89" s="60"/>
      <c r="G89" s="60"/>
      <c r="H89" s="60"/>
      <c r="O89" s="21"/>
      <c r="P89" s="22"/>
    </row>
    <row r="90" spans="2:23" ht="19.899999999999999" customHeight="1" x14ac:dyDescent="0.3">
      <c r="B90" s="742" t="s">
        <v>66</v>
      </c>
      <c r="C90" s="346"/>
      <c r="D90" s="743"/>
      <c r="E90" s="743"/>
      <c r="V90" s="21"/>
      <c r="W90" s="22"/>
    </row>
    <row r="91" spans="2:23" ht="18.75" x14ac:dyDescent="0.3">
      <c r="B91" s="742"/>
      <c r="C91" s="346"/>
      <c r="D91" s="743"/>
      <c r="E91" s="743"/>
      <c r="V91" s="21"/>
      <c r="W91" s="22"/>
    </row>
    <row r="92" spans="2:23" x14ac:dyDescent="0.25">
      <c r="B92" s="96" t="s">
        <v>37</v>
      </c>
      <c r="C92" s="96" t="s">
        <v>38</v>
      </c>
      <c r="D92" s="96" t="s">
        <v>39</v>
      </c>
      <c r="E92" s="61"/>
      <c r="V92" s="21"/>
      <c r="W92" s="22"/>
    </row>
    <row r="93" spans="2:23" x14ac:dyDescent="0.25">
      <c r="B93" s="5" t="s">
        <v>56</v>
      </c>
      <c r="C93" s="89">
        <v>53595692.297142863</v>
      </c>
      <c r="D93" s="7"/>
      <c r="E93" s="60"/>
      <c r="V93" s="21"/>
      <c r="W93" s="22"/>
    </row>
    <row r="94" spans="2:23" x14ac:dyDescent="0.25">
      <c r="B94" s="8" t="s">
        <v>41</v>
      </c>
      <c r="C94" s="279">
        <v>586575</v>
      </c>
      <c r="D94" s="9">
        <f>+C94/C$37</f>
        <v>1.1352745833566956E-2</v>
      </c>
      <c r="E94" s="62"/>
      <c r="H94" t="s">
        <v>301</v>
      </c>
      <c r="V94" s="21"/>
    </row>
    <row r="95" spans="2:23" x14ac:dyDescent="0.25">
      <c r="B95" s="10" t="s">
        <v>42</v>
      </c>
      <c r="C95" s="279"/>
      <c r="D95" s="9">
        <f t="shared" ref="D95:D107" si="11">+C95/C$37</f>
        <v>0</v>
      </c>
      <c r="E95" s="62"/>
      <c r="V95" s="21"/>
    </row>
    <row r="96" spans="2:23" x14ac:dyDescent="0.25">
      <c r="B96" s="10" t="s">
        <v>43</v>
      </c>
      <c r="C96" s="279">
        <f>1678226-C94</f>
        <v>1091651</v>
      </c>
      <c r="D96" s="9">
        <f t="shared" si="11"/>
        <v>2.1128135945035504E-2</v>
      </c>
      <c r="E96" s="744" t="s">
        <v>519</v>
      </c>
      <c r="V96" s="21"/>
    </row>
    <row r="97" spans="2:22" x14ac:dyDescent="0.25">
      <c r="B97" s="10" t="s">
        <v>44</v>
      </c>
      <c r="C97" s="279">
        <v>512004</v>
      </c>
      <c r="D97" s="9">
        <f t="shared" si="11"/>
        <v>9.909476670109732E-3</v>
      </c>
      <c r="E97" s="62"/>
      <c r="V97" s="21"/>
    </row>
    <row r="98" spans="2:22" x14ac:dyDescent="0.25">
      <c r="B98" s="10" t="s">
        <v>45</v>
      </c>
      <c r="C98" s="279">
        <v>-375974.58857142879</v>
      </c>
      <c r="D98" s="9">
        <f t="shared" si="11"/>
        <v>-7.2767232560735431E-3</v>
      </c>
      <c r="E98" s="62"/>
      <c r="V98" s="21"/>
    </row>
    <row r="99" spans="2:22" x14ac:dyDescent="0.25">
      <c r="B99" s="10" t="s">
        <v>46</v>
      </c>
      <c r="C99" s="279">
        <v>-264000</v>
      </c>
      <c r="D99" s="9">
        <f t="shared" si="11"/>
        <v>-5.109533989791035E-3</v>
      </c>
      <c r="E99" s="62"/>
      <c r="V99" s="21"/>
    </row>
    <row r="100" spans="2:22" x14ac:dyDescent="0.25">
      <c r="B100" s="10" t="s">
        <v>47</v>
      </c>
      <c r="C100" s="279">
        <v>691790</v>
      </c>
      <c r="D100" s="9">
        <f t="shared" si="11"/>
        <v>1.3389108025748258E-2</v>
      </c>
      <c r="E100" s="62"/>
    </row>
    <row r="101" spans="2:22" x14ac:dyDescent="0.25">
      <c r="B101" s="10" t="s">
        <v>48</v>
      </c>
      <c r="C101" s="279">
        <v>56196</v>
      </c>
      <c r="D101" s="9">
        <f t="shared" si="11"/>
        <v>1.087633985190519E-3</v>
      </c>
      <c r="E101" s="62"/>
    </row>
    <row r="102" spans="2:22" x14ac:dyDescent="0.25">
      <c r="B102" s="10" t="s">
        <v>49</v>
      </c>
      <c r="C102" s="279"/>
      <c r="D102" s="9">
        <f t="shared" si="11"/>
        <v>0</v>
      </c>
      <c r="E102" s="62"/>
    </row>
    <row r="103" spans="2:22" x14ac:dyDescent="0.25">
      <c r="B103" s="88" t="s">
        <v>28</v>
      </c>
      <c r="C103" s="279"/>
      <c r="D103" s="9">
        <f t="shared" si="11"/>
        <v>0</v>
      </c>
      <c r="E103" s="62"/>
    </row>
    <row r="104" spans="2:22" x14ac:dyDescent="0.25">
      <c r="B104" s="88" t="s">
        <v>28</v>
      </c>
      <c r="C104" s="279"/>
      <c r="D104" s="9">
        <f t="shared" si="11"/>
        <v>0</v>
      </c>
      <c r="E104" s="62"/>
    </row>
    <row r="105" spans="2:22" x14ac:dyDescent="0.25">
      <c r="B105" s="88" t="s">
        <v>28</v>
      </c>
      <c r="C105" s="279"/>
      <c r="D105" s="9">
        <f t="shared" si="11"/>
        <v>0</v>
      </c>
      <c r="E105" s="62"/>
    </row>
    <row r="106" spans="2:22" x14ac:dyDescent="0.25">
      <c r="B106" s="88" t="s">
        <v>28</v>
      </c>
      <c r="C106" s="279">
        <f>+C109-SUM(C93:C105)</f>
        <v>-850004.70857143402</v>
      </c>
      <c r="D106" s="9">
        <f t="shared" si="11"/>
        <v>-1.6451242234576384E-2</v>
      </c>
      <c r="E106" s="62"/>
    </row>
    <row r="107" spans="2:22" x14ac:dyDescent="0.25">
      <c r="B107" s="88" t="s">
        <v>50</v>
      </c>
      <c r="C107" s="93"/>
      <c r="D107" s="9">
        <f t="shared" si="11"/>
        <v>0</v>
      </c>
      <c r="E107" s="62"/>
    </row>
    <row r="108" spans="2:22" x14ac:dyDescent="0.25">
      <c r="B108" s="11" t="s">
        <v>29</v>
      </c>
      <c r="C108" s="12">
        <f>SUM(C93:C107)</f>
        <v>55043929</v>
      </c>
      <c r="D108" s="13">
        <f>SUM(D94:D107)</f>
        <v>2.8029600979210013E-2</v>
      </c>
      <c r="E108" s="62"/>
    </row>
    <row r="109" spans="2:22" x14ac:dyDescent="0.25">
      <c r="C109" s="14">
        <f>+C52</f>
        <v>55043929</v>
      </c>
      <c r="E109" s="57"/>
    </row>
    <row r="110" spans="2:22" x14ac:dyDescent="0.25">
      <c r="B110" s="28" t="s">
        <v>62</v>
      </c>
      <c r="C110" s="65">
        <f>+C108-C93</f>
        <v>1448236.7028571367</v>
      </c>
      <c r="E110" s="57"/>
    </row>
    <row r="111" spans="2:22" x14ac:dyDescent="0.25">
      <c r="B111" s="54" t="s">
        <v>63</v>
      </c>
      <c r="C111" s="657">
        <f>(C110)/C93</f>
        <v>2.7021513125119963E-2</v>
      </c>
      <c r="E111" s="57"/>
    </row>
    <row r="112" spans="2:22" x14ac:dyDescent="0.25">
      <c r="B112" s="207"/>
      <c r="C112" s="60"/>
      <c r="D112" s="60"/>
      <c r="E112" s="60"/>
      <c r="F112" s="60"/>
      <c r="G112" s="60"/>
      <c r="H112" s="60"/>
      <c r="O112" s="21"/>
      <c r="P112" s="22"/>
    </row>
    <row r="113" spans="2:23" x14ac:dyDescent="0.25">
      <c r="B113" s="28" t="s">
        <v>64</v>
      </c>
      <c r="C113" s="65">
        <f>(C108-'5. Vaccine Clinics and Testing'!D36)-('1. Reconciliation'!C93-'5. Vaccine Clinics and Testing'!C36)</f>
        <v>1863486.7028571367</v>
      </c>
      <c r="D113" s="60"/>
      <c r="E113" s="60"/>
      <c r="F113" s="60"/>
      <c r="G113" s="60"/>
      <c r="H113" s="60"/>
      <c r="O113" s="21"/>
      <c r="P113" s="22"/>
    </row>
    <row r="114" spans="2:23" x14ac:dyDescent="0.25">
      <c r="B114" s="54" t="s">
        <v>65</v>
      </c>
      <c r="C114" s="657">
        <f>(C113)/(C93-'5. Vaccine Clinics and Testing'!C36)</f>
        <v>3.54144137889945E-2</v>
      </c>
      <c r="D114" s="15"/>
      <c r="E114" s="15"/>
      <c r="K114" s="22"/>
      <c r="L114" s="22"/>
      <c r="M114" s="14"/>
      <c r="N114" s="23"/>
      <c r="V114" s="21"/>
      <c r="W114" s="22"/>
    </row>
  </sheetData>
  <mergeCells count="7">
    <mergeCell ref="A71:A74"/>
    <mergeCell ref="B2:O2"/>
    <mergeCell ref="B3:O3"/>
    <mergeCell ref="B4:O4"/>
    <mergeCell ref="B6:O6"/>
    <mergeCell ref="A12:A19"/>
    <mergeCell ref="B64:O64"/>
  </mergeCells>
  <pageMargins left="0.7" right="0.7" top="0.5" bottom="0.5" header="0.3" footer="0.3"/>
  <pageSetup scale="48" fitToHeight="4" orientation="landscape" r:id="rId1"/>
  <headerFooter>
    <oddFooter>&amp;L&amp;D&amp;R&amp;F,&amp;A</oddFooter>
  </headerFooter>
  <rowBreaks count="1" manualBreakCount="1">
    <brk id="63" min="1" max="12" man="1"/>
  </rowBreaks>
  <ignoredErrors>
    <ignoredError sqref="D12 D14"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DFC1-013E-4471-A633-AEBBF655E306}">
  <sheetPr>
    <tabColor rgb="FF0070C0"/>
  </sheetPr>
  <dimension ref="A1:U107"/>
  <sheetViews>
    <sheetView zoomScaleNormal="100" workbookViewId="0">
      <pane xSplit="2" ySplit="2" topLeftCell="G3" activePane="bottomRight" state="frozen"/>
      <selection activeCell="J15" sqref="J15"/>
      <selection pane="topRight" activeCell="J15" sqref="J15"/>
      <selection pane="bottomLeft" activeCell="J15" sqref="J15"/>
      <selection pane="bottomRight" activeCell="J30" sqref="J30"/>
    </sheetView>
  </sheetViews>
  <sheetFormatPr defaultRowHeight="15" x14ac:dyDescent="0.25"/>
  <cols>
    <col min="1" max="1" width="3.42578125" customWidth="1"/>
    <col min="2" max="2" width="40.28515625" customWidth="1"/>
    <col min="3" max="3" width="13.5703125" style="345" bestFit="1" customWidth="1"/>
    <col min="4" max="4" width="20" style="345" hidden="1" customWidth="1"/>
    <col min="5" max="5" width="15.42578125" customWidth="1"/>
    <col min="6" max="6" width="17.42578125" customWidth="1"/>
    <col min="7" max="7" width="18.28515625" customWidth="1"/>
    <col min="8" max="8" width="14.42578125" customWidth="1"/>
    <col min="9" max="10" width="15.28515625" customWidth="1"/>
    <col min="11" max="11" width="13.42578125" bestFit="1" customWidth="1"/>
    <col min="12" max="12" width="11.42578125" style="705" customWidth="1"/>
    <col min="13" max="13" width="11.28515625" style="705" customWidth="1"/>
  </cols>
  <sheetData>
    <row r="1" spans="1:13" ht="54" customHeight="1" x14ac:dyDescent="0.25">
      <c r="A1" s="660"/>
      <c r="C1" s="661" t="s">
        <v>417</v>
      </c>
      <c r="D1" s="661" t="s">
        <v>418</v>
      </c>
      <c r="E1" s="661" t="s">
        <v>419</v>
      </c>
      <c r="F1" s="661" t="s">
        <v>420</v>
      </c>
      <c r="G1" s="661" t="s">
        <v>421</v>
      </c>
      <c r="H1" s="661" t="s">
        <v>422</v>
      </c>
      <c r="I1" s="661" t="s">
        <v>423</v>
      </c>
      <c r="J1" s="661" t="s">
        <v>423</v>
      </c>
      <c r="K1" s="661" t="s">
        <v>424</v>
      </c>
      <c r="L1" s="661" t="s">
        <v>425</v>
      </c>
      <c r="M1" s="661" t="s">
        <v>426</v>
      </c>
    </row>
    <row r="2" spans="1:13" ht="30" x14ac:dyDescent="0.25">
      <c r="A2" s="662" t="s">
        <v>427</v>
      </c>
      <c r="B2" s="662"/>
      <c r="H2" s="663" t="s">
        <v>428</v>
      </c>
      <c r="I2" s="663" t="s">
        <v>428</v>
      </c>
      <c r="J2" s="663" t="s">
        <v>428</v>
      </c>
      <c r="K2" s="663" t="s">
        <v>428</v>
      </c>
      <c r="L2" s="663" t="s">
        <v>428</v>
      </c>
      <c r="M2" s="663" t="s">
        <v>428</v>
      </c>
    </row>
    <row r="3" spans="1:13" ht="18" customHeight="1" x14ac:dyDescent="0.25">
      <c r="A3" s="664"/>
      <c r="B3" s="665" t="s">
        <v>429</v>
      </c>
      <c r="C3" s="666">
        <v>19843570.349999998</v>
      </c>
      <c r="D3" s="666">
        <v>9111698.0200000033</v>
      </c>
      <c r="E3" s="666">
        <v>18679264.899999999</v>
      </c>
      <c r="F3" s="666">
        <v>15620053.748571435</v>
      </c>
      <c r="G3" s="666">
        <v>22707365</v>
      </c>
      <c r="H3" s="666">
        <v>20013988.827709649</v>
      </c>
      <c r="I3" s="667">
        <f>+H3-F3</f>
        <v>4393935.0791382138</v>
      </c>
      <c r="J3" s="667">
        <f>+H3-F3</f>
        <v>4393935.0791382138</v>
      </c>
      <c r="K3" s="667">
        <f>+H3-G3</f>
        <v>-2693376.1722903512</v>
      </c>
      <c r="L3" s="668">
        <f>+I3/F3</f>
        <v>0.28130089370147465</v>
      </c>
      <c r="M3" s="668">
        <f>+K3/G3</f>
        <v>-0.11861244896932564</v>
      </c>
    </row>
    <row r="4" spans="1:13" ht="18" customHeight="1" x14ac:dyDescent="0.25">
      <c r="A4" s="669"/>
      <c r="B4" s="665" t="s">
        <v>430</v>
      </c>
      <c r="C4" s="666">
        <v>81456659.210000008</v>
      </c>
      <c r="D4" s="666">
        <v>42650869.820000008</v>
      </c>
      <c r="E4" s="666">
        <v>65178256.069999985</v>
      </c>
      <c r="F4" s="666">
        <v>73115776.834285706</v>
      </c>
      <c r="G4" s="666">
        <v>76665604</v>
      </c>
      <c r="H4" s="666">
        <v>75312139.144313365</v>
      </c>
      <c r="I4" s="667">
        <f>+H4-F4</f>
        <v>2196362.3100276589</v>
      </c>
      <c r="J4" s="667">
        <f>+H4-F4</f>
        <v>2196362.3100276589</v>
      </c>
      <c r="K4" s="667">
        <f>+H4-G4</f>
        <v>-1353464.8556866348</v>
      </c>
      <c r="L4" s="668">
        <f>+I4/F4</f>
        <v>3.003951274436481E-2</v>
      </c>
      <c r="M4" s="668">
        <f>+K4/G4</f>
        <v>-1.765413412364996E-2</v>
      </c>
    </row>
    <row r="5" spans="1:13" ht="18" customHeight="1" x14ac:dyDescent="0.25">
      <c r="A5" s="670"/>
      <c r="B5" s="671" t="s">
        <v>77</v>
      </c>
      <c r="C5" s="666">
        <v>8912505.5300000012</v>
      </c>
      <c r="D5" s="666">
        <v>6480578.6600000001</v>
      </c>
      <c r="E5" s="666">
        <v>9273009.7300000004</v>
      </c>
      <c r="F5" s="666">
        <v>11109563.417142859</v>
      </c>
      <c r="G5" s="666">
        <v>10699692</v>
      </c>
      <c r="H5" s="666">
        <v>12031584.756589975</v>
      </c>
      <c r="I5" s="667">
        <f>+H5-F5</f>
        <v>922021.33944711648</v>
      </c>
      <c r="J5" s="667">
        <f>+H5-F5</f>
        <v>922021.33944711648</v>
      </c>
      <c r="K5" s="667">
        <f>+H5-G5</f>
        <v>1331892.7565899752</v>
      </c>
      <c r="L5" s="668">
        <f>+I5/F5</f>
        <v>8.2993480916124115E-2</v>
      </c>
      <c r="M5" s="668">
        <f>+K5/G5</f>
        <v>0.12447954170923567</v>
      </c>
    </row>
    <row r="6" spans="1:13" ht="18" customHeight="1" x14ac:dyDescent="0.25">
      <c r="A6" s="664"/>
      <c r="B6" s="672" t="s">
        <v>431</v>
      </c>
      <c r="C6" s="673">
        <f t="shared" ref="C6:H6" si="0">SUM(C3:C5)</f>
        <v>110212735.09</v>
      </c>
      <c r="D6" s="673">
        <f t="shared" si="0"/>
        <v>58243146.500000015</v>
      </c>
      <c r="E6" s="673">
        <f t="shared" si="0"/>
        <v>93130530.699999988</v>
      </c>
      <c r="F6" s="673">
        <f t="shared" si="0"/>
        <v>99845394</v>
      </c>
      <c r="G6" s="673">
        <f t="shared" si="0"/>
        <v>110072661</v>
      </c>
      <c r="H6" s="673">
        <f t="shared" si="0"/>
        <v>107357712.72861299</v>
      </c>
      <c r="I6" s="674">
        <f>+H6-F6</f>
        <v>7512318.7286129892</v>
      </c>
      <c r="J6" s="674">
        <f>+H6-F6</f>
        <v>7512318.7286129892</v>
      </c>
      <c r="K6" s="674">
        <f>+H6-G6</f>
        <v>-2714948.2713870108</v>
      </c>
      <c r="L6" s="675">
        <f>+I6/F6</f>
        <v>7.5239512086185859E-2</v>
      </c>
      <c r="M6" s="675">
        <f>+K6/G6</f>
        <v>-2.4665055307302973E-2</v>
      </c>
    </row>
    <row r="7" spans="1:13" ht="18" customHeight="1" x14ac:dyDescent="0.25">
      <c r="A7" s="664"/>
      <c r="B7" s="672" t="s">
        <v>432</v>
      </c>
      <c r="C7" s="676"/>
      <c r="D7" s="676"/>
      <c r="E7" s="676"/>
      <c r="F7" s="676"/>
      <c r="G7" s="676"/>
      <c r="H7" s="676"/>
      <c r="I7" s="677"/>
      <c r="J7" s="677"/>
      <c r="K7" s="677"/>
      <c r="L7" s="678"/>
      <c r="M7" s="678"/>
    </row>
    <row r="8" spans="1:13" ht="18" customHeight="1" x14ac:dyDescent="0.25">
      <c r="A8" s="664"/>
      <c r="B8" s="665" t="s">
        <v>433</v>
      </c>
      <c r="C8" s="666">
        <v>55881499.999999993</v>
      </c>
      <c r="D8" s="666">
        <v>30418000.57</v>
      </c>
      <c r="E8" s="666">
        <v>49259042.620000005</v>
      </c>
      <c r="F8" s="666">
        <v>52145143.834285706</v>
      </c>
      <c r="G8" s="666">
        <v>54334789</v>
      </c>
      <c r="H8" s="666">
        <v>56356251.148129255</v>
      </c>
      <c r="I8" s="667">
        <f t="shared" ref="I8:I15" si="1">+H8-F8</f>
        <v>4211107.3138435483</v>
      </c>
      <c r="J8" s="667">
        <f t="shared" ref="J8:J37" si="2">+H8-F8</f>
        <v>4211107.3138435483</v>
      </c>
      <c r="K8" s="667">
        <f t="shared" ref="K8:K15" si="3">+H8-G8</f>
        <v>2021462.1481292546</v>
      </c>
      <c r="L8" s="668">
        <f t="shared" ref="L8:L15" si="4">+I8/F8</f>
        <v>8.0757420618614212E-2</v>
      </c>
      <c r="M8" s="668">
        <f t="shared" ref="M8:M15" si="5">+K8/G8</f>
        <v>3.7203828069144698E-2</v>
      </c>
    </row>
    <row r="9" spans="1:13" ht="18" customHeight="1" x14ac:dyDescent="0.25">
      <c r="A9" s="664"/>
      <c r="B9" s="665" t="s">
        <v>434</v>
      </c>
      <c r="C9" s="666">
        <v>1565752.83</v>
      </c>
      <c r="D9" s="666">
        <v>446547.75</v>
      </c>
      <c r="E9" s="666">
        <v>918532.57000000018</v>
      </c>
      <c r="F9" s="666">
        <v>765510.42857142852</v>
      </c>
      <c r="G9" s="666">
        <v>1136260</v>
      </c>
      <c r="H9" s="666">
        <v>801177.89034041099</v>
      </c>
      <c r="I9" s="667">
        <f t="shared" si="1"/>
        <v>35667.461768982466</v>
      </c>
      <c r="J9" s="667">
        <f t="shared" si="2"/>
        <v>35667.461768982466</v>
      </c>
      <c r="K9" s="667">
        <f t="shared" si="3"/>
        <v>-335082.10965958901</v>
      </c>
      <c r="L9" s="668">
        <f t="shared" si="4"/>
        <v>4.6593044898870888E-2</v>
      </c>
      <c r="M9" s="668">
        <f t="shared" si="5"/>
        <v>-0.29489915130303718</v>
      </c>
    </row>
    <row r="10" spans="1:13" ht="18" customHeight="1" x14ac:dyDescent="0.25">
      <c r="A10" s="664"/>
      <c r="B10" s="665" t="s">
        <v>435</v>
      </c>
      <c r="C10" s="666">
        <v>5271466.790000001</v>
      </c>
      <c r="D10" s="666">
        <v>1485154.7600000002</v>
      </c>
      <c r="E10" s="666">
        <v>4046158.5500000007</v>
      </c>
      <c r="F10" s="666">
        <v>2545979.5885714283</v>
      </c>
      <c r="G10" s="666">
        <v>5010225</v>
      </c>
      <c r="H10" s="666">
        <v>2559407.9868812365</v>
      </c>
      <c r="I10" s="667">
        <f t="shared" si="1"/>
        <v>13428.398309808224</v>
      </c>
      <c r="J10" s="667">
        <f t="shared" si="2"/>
        <v>13428.398309808224</v>
      </c>
      <c r="K10" s="667">
        <f t="shared" si="3"/>
        <v>-2450817.0131187635</v>
      </c>
      <c r="L10" s="668">
        <f t="shared" si="4"/>
        <v>5.2743542682300209E-3</v>
      </c>
      <c r="M10" s="668">
        <f t="shared" si="5"/>
        <v>-0.48916306415755051</v>
      </c>
    </row>
    <row r="11" spans="1:13" ht="18" customHeight="1" x14ac:dyDescent="0.25">
      <c r="A11" s="664"/>
      <c r="B11" s="665" t="s">
        <v>325</v>
      </c>
      <c r="C11" s="666">
        <v>-1019052.99</v>
      </c>
      <c r="D11" s="666">
        <v>-480599.21000000008</v>
      </c>
      <c r="E11" s="666">
        <v>-883306.96</v>
      </c>
      <c r="F11" s="666">
        <v>-823884.3600000001</v>
      </c>
      <c r="G11" s="666">
        <v>-1008927</v>
      </c>
      <c r="H11" s="666">
        <v>-823884.3600000001</v>
      </c>
      <c r="I11" s="667">
        <f t="shared" si="1"/>
        <v>0</v>
      </c>
      <c r="J11" s="667">
        <f t="shared" si="2"/>
        <v>0</v>
      </c>
      <c r="K11" s="667">
        <f t="shared" si="3"/>
        <v>185042.6399999999</v>
      </c>
      <c r="L11" s="668">
        <f t="shared" si="4"/>
        <v>0</v>
      </c>
      <c r="M11" s="668">
        <f t="shared" si="5"/>
        <v>-0.1834053801712115</v>
      </c>
    </row>
    <row r="12" spans="1:13" ht="18" customHeight="1" x14ac:dyDescent="0.25">
      <c r="A12" s="664"/>
      <c r="B12" s="672" t="s">
        <v>436</v>
      </c>
      <c r="C12" s="679">
        <f t="shared" ref="C12:H12" si="6">SUM(C8:C11)</f>
        <v>61699666.629999988</v>
      </c>
      <c r="D12" s="679">
        <f t="shared" si="6"/>
        <v>31869103.870000001</v>
      </c>
      <c r="E12" s="679">
        <f t="shared" si="6"/>
        <v>53340426.780000009</v>
      </c>
      <c r="F12" s="679">
        <f t="shared" si="6"/>
        <v>54632749.491428562</v>
      </c>
      <c r="G12" s="679">
        <f t="shared" si="6"/>
        <v>59472347</v>
      </c>
      <c r="H12" s="679">
        <f t="shared" si="6"/>
        <v>58892952.665350899</v>
      </c>
      <c r="I12" s="680">
        <f t="shared" si="1"/>
        <v>4260203.1739223376</v>
      </c>
      <c r="J12" s="680">
        <f t="shared" si="2"/>
        <v>4260203.1739223376</v>
      </c>
      <c r="K12" s="680">
        <f t="shared" si="3"/>
        <v>-579394.3346491009</v>
      </c>
      <c r="L12" s="681">
        <f t="shared" si="4"/>
        <v>7.7978926808190921E-2</v>
      </c>
      <c r="M12" s="681">
        <f t="shared" si="5"/>
        <v>-9.7422476810794245E-3</v>
      </c>
    </row>
    <row r="13" spans="1:13" ht="18" customHeight="1" x14ac:dyDescent="0.25">
      <c r="A13" s="664"/>
      <c r="B13" s="672" t="s">
        <v>437</v>
      </c>
      <c r="C13" s="682">
        <f t="shared" ref="C13:H13" si="7">C6-C12</f>
        <v>48513068.460000016</v>
      </c>
      <c r="D13" s="682">
        <f t="shared" si="7"/>
        <v>26374042.630000014</v>
      </c>
      <c r="E13" s="682">
        <f t="shared" si="7"/>
        <v>39790103.919999979</v>
      </c>
      <c r="F13" s="682">
        <f t="shared" si="7"/>
        <v>45212644.508571438</v>
      </c>
      <c r="G13" s="682">
        <f t="shared" si="7"/>
        <v>50600314</v>
      </c>
      <c r="H13" s="682">
        <f t="shared" si="7"/>
        <v>48464760.06326209</v>
      </c>
      <c r="I13" s="683">
        <f t="shared" si="1"/>
        <v>3252115.5546906516</v>
      </c>
      <c r="J13" s="683">
        <f t="shared" si="2"/>
        <v>3252115.5546906516</v>
      </c>
      <c r="K13" s="683">
        <f t="shared" si="3"/>
        <v>-2135553.9367379099</v>
      </c>
      <c r="L13" s="684">
        <f t="shared" si="4"/>
        <v>7.1929337247108247E-2</v>
      </c>
      <c r="M13" s="684">
        <f t="shared" si="5"/>
        <v>-4.2204361355107599E-2</v>
      </c>
    </row>
    <row r="14" spans="1:13" ht="18" customHeight="1" x14ac:dyDescent="0.25">
      <c r="A14" s="664"/>
      <c r="B14" s="664" t="s">
        <v>141</v>
      </c>
      <c r="C14" s="666">
        <v>1727699.4200000004</v>
      </c>
      <c r="D14" s="666">
        <v>2578374.3199999998</v>
      </c>
      <c r="E14" s="666">
        <v>7491046.7500000009</v>
      </c>
      <c r="F14" s="666">
        <v>4420070.2628571428</v>
      </c>
      <c r="G14" s="666">
        <v>1761472</v>
      </c>
      <c r="H14" s="666">
        <v>2394000</v>
      </c>
      <c r="I14" s="667">
        <f t="shared" si="1"/>
        <v>-2026070.2628571428</v>
      </c>
      <c r="J14" s="667">
        <f t="shared" si="2"/>
        <v>-2026070.2628571428</v>
      </c>
      <c r="K14" s="667">
        <f t="shared" si="3"/>
        <v>632528</v>
      </c>
      <c r="L14" s="668">
        <f t="shared" si="4"/>
        <v>-0.45837965063195324</v>
      </c>
      <c r="M14" s="668">
        <f t="shared" si="5"/>
        <v>0.35909057878864947</v>
      </c>
    </row>
    <row r="15" spans="1:13" ht="18" customHeight="1" x14ac:dyDescent="0.25">
      <c r="A15" s="664"/>
      <c r="B15" s="672" t="s">
        <v>438</v>
      </c>
      <c r="C15" s="685">
        <f t="shared" ref="C15:H15" si="8">C13+C14</f>
        <v>50240767.880000018</v>
      </c>
      <c r="D15" s="685">
        <f t="shared" si="8"/>
        <v>28952416.950000014</v>
      </c>
      <c r="E15" s="685">
        <f t="shared" si="8"/>
        <v>47281150.669999979</v>
      </c>
      <c r="F15" s="685">
        <f t="shared" si="8"/>
        <v>49632714.771428585</v>
      </c>
      <c r="G15" s="685">
        <f t="shared" si="8"/>
        <v>52361786</v>
      </c>
      <c r="H15" s="685">
        <f t="shared" si="8"/>
        <v>50858760.06326209</v>
      </c>
      <c r="I15" s="686">
        <f t="shared" si="1"/>
        <v>1226045.291833505</v>
      </c>
      <c r="J15" s="686">
        <f t="shared" si="2"/>
        <v>1226045.291833505</v>
      </c>
      <c r="K15" s="686">
        <f t="shared" si="3"/>
        <v>-1503025.9367379099</v>
      </c>
      <c r="L15" s="687">
        <f t="shared" si="4"/>
        <v>2.4702362090805608E-2</v>
      </c>
      <c r="M15" s="687">
        <f t="shared" si="5"/>
        <v>-2.8704634649740747E-2</v>
      </c>
    </row>
    <row r="16" spans="1:13" x14ac:dyDescent="0.25">
      <c r="A16" s="664"/>
      <c r="B16" s="688" t="s">
        <v>439</v>
      </c>
      <c r="C16" s="689">
        <f t="shared" ref="C16:H16" si="9">+C13/C6</f>
        <v>0.44017661316892387</v>
      </c>
      <c r="D16" s="689">
        <f t="shared" si="9"/>
        <v>0.45282654208937712</v>
      </c>
      <c r="E16" s="689">
        <f t="shared" si="9"/>
        <v>0.42725090924452325</v>
      </c>
      <c r="F16" s="689">
        <f t="shared" si="9"/>
        <v>0.45282654208937706</v>
      </c>
      <c r="G16" s="689">
        <f t="shared" si="9"/>
        <v>0.45969919815057436</v>
      </c>
      <c r="H16" s="689">
        <f t="shared" si="9"/>
        <v>0.45143249452207507</v>
      </c>
      <c r="I16" s="690"/>
      <c r="J16" s="690">
        <f t="shared" si="2"/>
        <v>-1.3940475673019925E-3</v>
      </c>
      <c r="K16" s="690"/>
      <c r="L16" s="689"/>
      <c r="M16" s="689"/>
    </row>
    <row r="17" spans="1:13" x14ac:dyDescent="0.25">
      <c r="A17" s="691" t="s">
        <v>440</v>
      </c>
      <c r="B17" s="662"/>
      <c r="C17" s="690"/>
      <c r="D17" s="690"/>
      <c r="E17" s="690"/>
      <c r="F17" s="690"/>
      <c r="G17" s="690"/>
      <c r="H17" s="690"/>
      <c r="I17" s="690"/>
      <c r="J17" s="690">
        <f t="shared" si="2"/>
        <v>0</v>
      </c>
      <c r="K17" s="690"/>
      <c r="L17" s="689"/>
      <c r="M17" s="689"/>
    </row>
    <row r="18" spans="1:13" ht="18" customHeight="1" x14ac:dyDescent="0.25">
      <c r="A18" s="664"/>
      <c r="B18" s="692" t="s">
        <v>441</v>
      </c>
      <c r="C18" s="666">
        <v>18037524.269999996</v>
      </c>
      <c r="D18" s="666">
        <v>10202501.569999998</v>
      </c>
      <c r="E18" s="666">
        <v>16309559.200000001</v>
      </c>
      <c r="F18" s="666">
        <v>17490002.691428572</v>
      </c>
      <c r="G18" s="666">
        <v>18036921</v>
      </c>
      <c r="H18" s="666">
        <v>19168228.999999996</v>
      </c>
      <c r="I18" s="667">
        <f t="shared" ref="I18:I32" si="10">+H18-F18</f>
        <v>1678226.3085714243</v>
      </c>
      <c r="J18" s="667">
        <f t="shared" si="2"/>
        <v>1678226.3085714243</v>
      </c>
      <c r="K18" s="667">
        <f t="shared" ref="K18:K32" si="11">+H18-G18</f>
        <v>1131307.9999999963</v>
      </c>
      <c r="L18" s="668">
        <f t="shared" ref="L18:L32" si="12">+I18/F18</f>
        <v>9.5953461996542894E-2</v>
      </c>
      <c r="M18" s="668">
        <f t="shared" ref="M18:M32" si="13">+K18/G18</f>
        <v>6.2721791596248397E-2</v>
      </c>
    </row>
    <row r="19" spans="1:13" ht="18" customHeight="1" x14ac:dyDescent="0.25">
      <c r="A19" s="664"/>
      <c r="B19" s="665" t="s">
        <v>442</v>
      </c>
      <c r="C19" s="666">
        <v>7637870.4399999995</v>
      </c>
      <c r="D19" s="666">
        <v>2870931.5300000003</v>
      </c>
      <c r="E19" s="666">
        <v>4682999.5599999996</v>
      </c>
      <c r="F19" s="666">
        <v>4921596.9085714277</v>
      </c>
      <c r="G19" s="666">
        <v>4982319</v>
      </c>
      <c r="H19" s="666">
        <v>5433601</v>
      </c>
      <c r="I19" s="667">
        <f t="shared" si="10"/>
        <v>512004.09142857231</v>
      </c>
      <c r="J19" s="667">
        <f t="shared" si="2"/>
        <v>512004.09142857231</v>
      </c>
      <c r="K19" s="667">
        <f t="shared" si="11"/>
        <v>451282</v>
      </c>
      <c r="L19" s="668">
        <f t="shared" si="12"/>
        <v>0.10403210602982715</v>
      </c>
      <c r="M19" s="668">
        <f t="shared" si="13"/>
        <v>9.0576697317052562E-2</v>
      </c>
    </row>
    <row r="20" spans="1:13" ht="18" customHeight="1" x14ac:dyDescent="0.25">
      <c r="A20" s="664"/>
      <c r="B20" s="665" t="s">
        <v>118</v>
      </c>
      <c r="C20" s="666">
        <v>1881124.4300000004</v>
      </c>
      <c r="D20" s="666">
        <v>1498540.8699999996</v>
      </c>
      <c r="E20" s="666">
        <v>1644755.42</v>
      </c>
      <c r="F20" s="666">
        <v>2568927.2057142858</v>
      </c>
      <c r="G20" s="666">
        <v>1685490</v>
      </c>
      <c r="H20" s="666">
        <v>1977918.1736584629</v>
      </c>
      <c r="I20" s="667">
        <f t="shared" si="10"/>
        <v>-591009.0320558229</v>
      </c>
      <c r="J20" s="667">
        <f t="shared" si="2"/>
        <v>-591009.0320558229</v>
      </c>
      <c r="K20" s="667">
        <f t="shared" si="11"/>
        <v>292428.17365846294</v>
      </c>
      <c r="L20" s="668">
        <f t="shared" si="12"/>
        <v>-0.23006063805202057</v>
      </c>
      <c r="M20" s="668">
        <f t="shared" si="13"/>
        <v>0.17349742428520071</v>
      </c>
    </row>
    <row r="21" spans="1:13" ht="18" customHeight="1" x14ac:dyDescent="0.25">
      <c r="A21" s="664"/>
      <c r="B21" s="665" t="s">
        <v>47</v>
      </c>
      <c r="C21" s="666">
        <v>1625251.1500000001</v>
      </c>
      <c r="D21" s="666">
        <v>461777.93000000005</v>
      </c>
      <c r="E21" s="666">
        <v>1341899.5299999998</v>
      </c>
      <c r="F21" s="666">
        <v>791619.30857142876</v>
      </c>
      <c r="G21" s="666">
        <v>1391915</v>
      </c>
      <c r="H21" s="666">
        <v>1483409</v>
      </c>
      <c r="I21" s="667">
        <f t="shared" si="10"/>
        <v>691789.69142857124</v>
      </c>
      <c r="J21" s="667">
        <f t="shared" si="2"/>
        <v>691789.69142857124</v>
      </c>
      <c r="K21" s="667">
        <f t="shared" si="11"/>
        <v>91494</v>
      </c>
      <c r="L21" s="668">
        <f t="shared" si="12"/>
        <v>0.87389188709531107</v>
      </c>
      <c r="M21" s="668">
        <f t="shared" si="13"/>
        <v>6.5732462111551357E-2</v>
      </c>
    </row>
    <row r="22" spans="1:13" ht="18" customHeight="1" x14ac:dyDescent="0.25">
      <c r="A22" s="664"/>
      <c r="B22" s="665" t="s">
        <v>443</v>
      </c>
      <c r="C22" s="666">
        <v>5256069.6800000016</v>
      </c>
      <c r="D22" s="666">
        <v>3811033.1700000004</v>
      </c>
      <c r="E22" s="666">
        <v>5276618.03</v>
      </c>
      <c r="F22" s="666">
        <v>6533199.7200000007</v>
      </c>
      <c r="G22" s="666">
        <v>4498388</v>
      </c>
      <c r="H22" s="666">
        <v>6436301.6361199999</v>
      </c>
      <c r="I22" s="667">
        <f t="shared" si="10"/>
        <v>-96898.083880000748</v>
      </c>
      <c r="J22" s="667">
        <f t="shared" si="2"/>
        <v>-96898.083880000748</v>
      </c>
      <c r="K22" s="667">
        <f t="shared" si="11"/>
        <v>1937913.6361199999</v>
      </c>
      <c r="L22" s="668">
        <f t="shared" si="12"/>
        <v>-1.4831642691615242E-2</v>
      </c>
      <c r="M22" s="668">
        <f t="shared" si="13"/>
        <v>0.43080179747056052</v>
      </c>
    </row>
    <row r="23" spans="1:13" ht="18" customHeight="1" x14ac:dyDescent="0.25">
      <c r="A23" s="664"/>
      <c r="B23" s="665" t="s">
        <v>444</v>
      </c>
      <c r="C23" s="666">
        <v>3025518.899999999</v>
      </c>
      <c r="D23" s="666">
        <v>1807988.84</v>
      </c>
      <c r="E23" s="666">
        <v>3085452.2699999996</v>
      </c>
      <c r="F23" s="666">
        <v>3099409.4400000009</v>
      </c>
      <c r="G23" s="666">
        <v>3047972</v>
      </c>
      <c r="H23" s="666">
        <v>3182729.768734403</v>
      </c>
      <c r="I23" s="667">
        <f t="shared" si="10"/>
        <v>83320.328734402079</v>
      </c>
      <c r="J23" s="667">
        <f t="shared" si="2"/>
        <v>83320.328734402079</v>
      </c>
      <c r="K23" s="667">
        <f t="shared" si="11"/>
        <v>134757.76873440295</v>
      </c>
      <c r="L23" s="668">
        <f t="shared" si="12"/>
        <v>2.6882646629095269E-2</v>
      </c>
      <c r="M23" s="668">
        <f t="shared" si="13"/>
        <v>4.4212272532163338E-2</v>
      </c>
    </row>
    <row r="24" spans="1:13" ht="18" customHeight="1" x14ac:dyDescent="0.25">
      <c r="A24" s="664"/>
      <c r="B24" s="665" t="s">
        <v>445</v>
      </c>
      <c r="C24" s="666">
        <v>7553491.9099999992</v>
      </c>
      <c r="D24" s="666">
        <v>3010379.2999999993</v>
      </c>
      <c r="E24" s="666">
        <v>6705762.9100000001</v>
      </c>
      <c r="F24" s="666">
        <v>5160650.228571428</v>
      </c>
      <c r="G24" s="666">
        <v>5891283</v>
      </c>
      <c r="H24" s="666">
        <v>4946497.8</v>
      </c>
      <c r="I24" s="667">
        <f t="shared" si="10"/>
        <v>-214152.42857142817</v>
      </c>
      <c r="J24" s="667">
        <f t="shared" si="2"/>
        <v>-214152.42857142817</v>
      </c>
      <c r="K24" s="667">
        <f t="shared" si="11"/>
        <v>-944785.20000000019</v>
      </c>
      <c r="L24" s="668">
        <f t="shared" si="12"/>
        <v>-4.1497179441806482E-2</v>
      </c>
      <c r="M24" s="668">
        <f t="shared" si="13"/>
        <v>-0.16037002466186062</v>
      </c>
    </row>
    <row r="25" spans="1:13" ht="18" customHeight="1" x14ac:dyDescent="0.25">
      <c r="A25" s="664"/>
      <c r="B25" s="665" t="s">
        <v>446</v>
      </c>
      <c r="C25" s="666">
        <v>872029.1100000001</v>
      </c>
      <c r="D25" s="666">
        <v>961490.71000000008</v>
      </c>
      <c r="E25" s="666">
        <v>656846.04999999993</v>
      </c>
      <c r="F25" s="666">
        <v>1648269.7885714287</v>
      </c>
      <c r="G25" s="666">
        <v>351106</v>
      </c>
      <c r="H25" s="666">
        <v>1272295.2</v>
      </c>
      <c r="I25" s="667">
        <f t="shared" si="10"/>
        <v>-375974.58857142879</v>
      </c>
      <c r="J25" s="667">
        <f t="shared" si="2"/>
        <v>-375974.58857142879</v>
      </c>
      <c r="K25" s="667">
        <f t="shared" si="11"/>
        <v>921189.2</v>
      </c>
      <c r="L25" s="668">
        <f t="shared" si="12"/>
        <v>-0.22810257833900455</v>
      </c>
      <c r="M25" s="668">
        <f t="shared" si="13"/>
        <v>2.62367831936794</v>
      </c>
    </row>
    <row r="26" spans="1:13" ht="18" customHeight="1" x14ac:dyDescent="0.25">
      <c r="A26" s="664"/>
      <c r="B26" s="665" t="s">
        <v>302</v>
      </c>
      <c r="C26" s="666">
        <v>1647419.96</v>
      </c>
      <c r="D26" s="666">
        <v>877729.35999999987</v>
      </c>
      <c r="E26" s="666">
        <v>1625097.93</v>
      </c>
      <c r="F26" s="666">
        <v>1504678.9028571425</v>
      </c>
      <c r="G26" s="666">
        <v>1863793</v>
      </c>
      <c r="H26" s="666">
        <v>1225000</v>
      </c>
      <c r="I26" s="667">
        <f t="shared" si="10"/>
        <v>-279678.9028571425</v>
      </c>
      <c r="J26" s="667">
        <f t="shared" si="2"/>
        <v>-279678.9028571425</v>
      </c>
      <c r="K26" s="667">
        <f t="shared" si="11"/>
        <v>-638793</v>
      </c>
      <c r="L26" s="668">
        <f t="shared" si="12"/>
        <v>-0.18587281467566094</v>
      </c>
      <c r="M26" s="668">
        <f t="shared" si="13"/>
        <v>-0.34273816888463471</v>
      </c>
    </row>
    <row r="27" spans="1:13" ht="18" customHeight="1" x14ac:dyDescent="0.25">
      <c r="A27" s="664"/>
      <c r="B27" s="665" t="s">
        <v>304</v>
      </c>
      <c r="C27" s="666">
        <v>479020.67</v>
      </c>
      <c r="D27" s="666">
        <v>118453.06999999999</v>
      </c>
      <c r="E27" s="666">
        <v>408784.86</v>
      </c>
      <c r="F27" s="666">
        <v>203062.40571428573</v>
      </c>
      <c r="G27" s="666">
        <v>159204</v>
      </c>
      <c r="H27" s="666">
        <v>120000</v>
      </c>
      <c r="I27" s="667">
        <f t="shared" si="10"/>
        <v>-83062.405714285735</v>
      </c>
      <c r="J27" s="667">
        <f t="shared" si="2"/>
        <v>-83062.405714285735</v>
      </c>
      <c r="K27" s="667">
        <f t="shared" si="11"/>
        <v>-39204</v>
      </c>
      <c r="L27" s="668">
        <f t="shared" si="12"/>
        <v>-0.4090486637450596</v>
      </c>
      <c r="M27" s="668">
        <f t="shared" si="13"/>
        <v>-0.24625009421873822</v>
      </c>
    </row>
    <row r="28" spans="1:13" ht="18" customHeight="1" x14ac:dyDescent="0.25">
      <c r="A28" s="664"/>
      <c r="B28" s="665" t="s">
        <v>447</v>
      </c>
      <c r="C28" s="666">
        <v>750309.67999999993</v>
      </c>
      <c r="D28" s="666">
        <v>440469.95999999996</v>
      </c>
      <c r="E28" s="666">
        <v>741887.07000000007</v>
      </c>
      <c r="F28" s="666">
        <v>755091.36</v>
      </c>
      <c r="G28" s="666">
        <v>639051</v>
      </c>
      <c r="H28" s="666">
        <v>731000</v>
      </c>
      <c r="I28" s="667">
        <f t="shared" si="10"/>
        <v>-24091.359999999986</v>
      </c>
      <c r="J28" s="667">
        <f t="shared" si="2"/>
        <v>-24091.359999999986</v>
      </c>
      <c r="K28" s="667">
        <f t="shared" si="11"/>
        <v>91949</v>
      </c>
      <c r="L28" s="668">
        <f t="shared" si="12"/>
        <v>-3.1905225349155082E-2</v>
      </c>
      <c r="M28" s="668">
        <f t="shared" si="13"/>
        <v>0.14388366499700336</v>
      </c>
    </row>
    <row r="29" spans="1:13" ht="18" customHeight="1" x14ac:dyDescent="0.25">
      <c r="A29" s="664"/>
      <c r="B29" s="665" t="s">
        <v>448</v>
      </c>
      <c r="C29" s="666">
        <v>2831012.19</v>
      </c>
      <c r="D29" s="666">
        <v>1619219</v>
      </c>
      <c r="E29" s="666">
        <v>3508014.85</v>
      </c>
      <c r="F29" s="666">
        <v>2775804</v>
      </c>
      <c r="G29" s="666">
        <v>3074817</v>
      </c>
      <c r="H29" s="666">
        <v>2832000</v>
      </c>
      <c r="I29" s="667">
        <f t="shared" si="10"/>
        <v>56196</v>
      </c>
      <c r="J29" s="667">
        <f t="shared" si="2"/>
        <v>56196</v>
      </c>
      <c r="K29" s="667">
        <f t="shared" si="11"/>
        <v>-242817</v>
      </c>
      <c r="L29" s="668">
        <f t="shared" si="12"/>
        <v>2.0244945248295627E-2</v>
      </c>
      <c r="M29" s="668">
        <f t="shared" si="13"/>
        <v>-7.8969577701697366E-2</v>
      </c>
    </row>
    <row r="30" spans="1:13" ht="18" customHeight="1" x14ac:dyDescent="0.25">
      <c r="A30" s="693"/>
      <c r="B30" s="671" t="s">
        <v>449</v>
      </c>
      <c r="C30" s="666">
        <v>6883050.5900000045</v>
      </c>
      <c r="D30" s="666">
        <v>3583638.5299999975</v>
      </c>
      <c r="E30" s="666">
        <v>6607740.7700000033</v>
      </c>
      <c r="F30" s="666">
        <v>6143380.3371428614</v>
      </c>
      <c r="G30" s="666">
        <v>6045858</v>
      </c>
      <c r="H30" s="666">
        <v>6234947.7189217005</v>
      </c>
      <c r="I30" s="667">
        <f t="shared" si="10"/>
        <v>91567.381778839044</v>
      </c>
      <c r="J30" s="667">
        <f t="shared" si="2"/>
        <v>91567.381778839044</v>
      </c>
      <c r="K30" s="667">
        <f t="shared" si="11"/>
        <v>189089.71892170049</v>
      </c>
      <c r="L30" s="668">
        <f t="shared" si="12"/>
        <v>1.4905048483686236E-2</v>
      </c>
      <c r="M30" s="668">
        <f t="shared" si="13"/>
        <v>3.1275911363068815E-2</v>
      </c>
    </row>
    <row r="31" spans="1:13" x14ac:dyDescent="0.25">
      <c r="A31" s="664"/>
      <c r="B31" s="672" t="s">
        <v>450</v>
      </c>
      <c r="C31" s="682">
        <f t="shared" ref="C31:H31" si="14">SUM(C18:C30)</f>
        <v>58479692.979999989</v>
      </c>
      <c r="D31" s="682">
        <f t="shared" si="14"/>
        <v>31264153.839999996</v>
      </c>
      <c r="E31" s="682">
        <f t="shared" si="14"/>
        <v>52595418.450000003</v>
      </c>
      <c r="F31" s="682">
        <f t="shared" si="14"/>
        <v>53595692.297142863</v>
      </c>
      <c r="G31" s="682">
        <f t="shared" si="14"/>
        <v>51668117</v>
      </c>
      <c r="H31" s="682">
        <f t="shared" si="14"/>
        <v>55043929.297434561</v>
      </c>
      <c r="I31" s="683">
        <f t="shared" si="10"/>
        <v>1448237.0002916977</v>
      </c>
      <c r="J31" s="683">
        <f t="shared" si="2"/>
        <v>1448237.0002916977</v>
      </c>
      <c r="K31" s="683">
        <f t="shared" si="11"/>
        <v>3375812.297434561</v>
      </c>
      <c r="L31" s="684">
        <f t="shared" si="12"/>
        <v>2.7021518674718227E-2</v>
      </c>
      <c r="M31" s="684">
        <f t="shared" si="13"/>
        <v>6.5336468473092615E-2</v>
      </c>
    </row>
    <row r="32" spans="1:13" x14ac:dyDescent="0.25">
      <c r="A32" s="664"/>
      <c r="B32" s="694" t="s">
        <v>451</v>
      </c>
      <c r="C32" s="695">
        <f t="shared" ref="C32:H32" si="15">C15-C31</f>
        <v>-8238925.0999999717</v>
      </c>
      <c r="D32" s="695">
        <f t="shared" si="15"/>
        <v>-2311736.889999982</v>
      </c>
      <c r="E32" s="695">
        <f t="shared" si="15"/>
        <v>-5314267.7800000235</v>
      </c>
      <c r="F32" s="695">
        <f t="shared" si="15"/>
        <v>-3962977.5257142782</v>
      </c>
      <c r="G32" s="695">
        <f t="shared" si="15"/>
        <v>693669</v>
      </c>
      <c r="H32" s="695">
        <f t="shared" si="15"/>
        <v>-4185169.2341724709</v>
      </c>
      <c r="I32" s="696">
        <f t="shared" si="10"/>
        <v>-222191.70845819265</v>
      </c>
      <c r="J32" s="696">
        <f t="shared" si="2"/>
        <v>-222191.70845819265</v>
      </c>
      <c r="K32" s="696">
        <f t="shared" si="11"/>
        <v>-4878838.2341724709</v>
      </c>
      <c r="L32" s="697">
        <f t="shared" si="12"/>
        <v>5.6066860590673E-2</v>
      </c>
      <c r="M32" s="697">
        <f t="shared" si="13"/>
        <v>-7.0333808115577758</v>
      </c>
    </row>
    <row r="33" spans="1:13" x14ac:dyDescent="0.25">
      <c r="A33" s="664"/>
      <c r="B33" s="662"/>
      <c r="C33" s="698"/>
      <c r="D33" s="698"/>
      <c r="E33" s="698"/>
      <c r="F33" s="698"/>
      <c r="G33" s="698"/>
      <c r="H33" s="698"/>
      <c r="I33" s="699"/>
      <c r="J33" s="699">
        <f t="shared" si="2"/>
        <v>0</v>
      </c>
      <c r="K33" s="699"/>
      <c r="L33" s="700"/>
      <c r="M33" s="700"/>
    </row>
    <row r="34" spans="1:13" x14ac:dyDescent="0.25">
      <c r="A34" s="664"/>
      <c r="B34" s="664" t="s">
        <v>452</v>
      </c>
      <c r="C34" s="666">
        <v>-958753.88000000012</v>
      </c>
      <c r="D34" s="666">
        <v>18036133.129999999</v>
      </c>
      <c r="E34" s="666">
        <v>576499.56999999995</v>
      </c>
      <c r="F34" s="666">
        <v>18253716.95857143</v>
      </c>
      <c r="G34" s="666">
        <v>0</v>
      </c>
      <c r="H34" s="666">
        <v>60525</v>
      </c>
      <c r="I34" s="667">
        <f>+H34-F34</f>
        <v>-18193191.95857143</v>
      </c>
      <c r="J34" s="667">
        <f t="shared" si="2"/>
        <v>-18193191.95857143</v>
      </c>
      <c r="K34" s="667">
        <f>+H34-G34</f>
        <v>60525</v>
      </c>
      <c r="L34" s="668">
        <f>+I34/F34</f>
        <v>-0.9966842369618546</v>
      </c>
      <c r="M34" s="668"/>
    </row>
    <row r="35" spans="1:13" x14ac:dyDescent="0.25">
      <c r="A35" s="664"/>
      <c r="B35" s="664" t="s">
        <v>453</v>
      </c>
      <c r="C35" s="666">
        <v>-6030292.71</v>
      </c>
      <c r="D35" s="666">
        <v>0</v>
      </c>
      <c r="E35" s="666">
        <v>0</v>
      </c>
      <c r="F35" s="666">
        <v>0</v>
      </c>
      <c r="G35" s="666">
        <v>0</v>
      </c>
      <c r="H35" s="666">
        <v>0</v>
      </c>
      <c r="I35" s="667">
        <f>+H35-F35</f>
        <v>0</v>
      </c>
      <c r="J35" s="667">
        <f t="shared" si="2"/>
        <v>0</v>
      </c>
      <c r="K35" s="667">
        <f>+H35-G35</f>
        <v>0</v>
      </c>
      <c r="L35" s="668"/>
      <c r="M35" s="668"/>
    </row>
    <row r="36" spans="1:13" x14ac:dyDescent="0.25">
      <c r="A36" s="664"/>
      <c r="B36" s="664" t="s">
        <v>454</v>
      </c>
      <c r="C36" s="666">
        <v>-1256731</v>
      </c>
      <c r="D36" s="666">
        <v>0</v>
      </c>
      <c r="E36" s="666">
        <v>-757412</v>
      </c>
      <c r="F36" s="666">
        <v>0</v>
      </c>
      <c r="G36" s="666">
        <v>-508935</v>
      </c>
      <c r="H36" s="666">
        <v>-750000</v>
      </c>
      <c r="I36" s="667">
        <f>+H36-F36</f>
        <v>-750000</v>
      </c>
      <c r="J36" s="667">
        <f t="shared" si="2"/>
        <v>-750000</v>
      </c>
      <c r="K36" s="667">
        <f>+H36-G36</f>
        <v>-241065</v>
      </c>
      <c r="L36" s="668"/>
      <c r="M36" s="668">
        <f>+K36/G36</f>
        <v>0.47366559580300038</v>
      </c>
    </row>
    <row r="37" spans="1:13" ht="27" thickBot="1" x14ac:dyDescent="0.3">
      <c r="A37" s="664"/>
      <c r="B37" s="701" t="s">
        <v>455</v>
      </c>
      <c r="C37" s="702">
        <f t="shared" ref="C37:H37" si="16">C32+C34+C35+C36</f>
        <v>-16484702.689999972</v>
      </c>
      <c r="D37" s="702">
        <f t="shared" si="16"/>
        <v>15724396.240000017</v>
      </c>
      <c r="E37" s="702">
        <f t="shared" si="16"/>
        <v>-5495180.2100000232</v>
      </c>
      <c r="F37" s="702">
        <f t="shared" si="16"/>
        <v>14290739.432857152</v>
      </c>
      <c r="G37" s="702">
        <f t="shared" si="16"/>
        <v>184734</v>
      </c>
      <c r="H37" s="702">
        <f t="shared" si="16"/>
        <v>-4874644.2341724709</v>
      </c>
      <c r="I37" s="703">
        <f>+H37-F37</f>
        <v>-19165383.667029623</v>
      </c>
      <c r="J37" s="703">
        <f t="shared" si="2"/>
        <v>-19165383.667029623</v>
      </c>
      <c r="K37" s="703">
        <f>+H37-G37</f>
        <v>-5059378.2341724709</v>
      </c>
      <c r="L37" s="704">
        <f>+I37/F37</f>
        <v>-1.3411051091565442</v>
      </c>
      <c r="M37" s="704">
        <f>+K37/G37</f>
        <v>-27.387369050485947</v>
      </c>
    </row>
    <row r="38" spans="1:13" ht="15.75" thickTop="1" x14ac:dyDescent="0.25"/>
    <row r="39" spans="1:13" ht="3" customHeight="1" x14ac:dyDescent="0.25"/>
    <row r="41" spans="1:13" x14ac:dyDescent="0.25">
      <c r="B41" s="672" t="s">
        <v>456</v>
      </c>
      <c r="H41" s="666">
        <f>+H32</f>
        <v>-4185169.2341724709</v>
      </c>
    </row>
    <row r="42" spans="1:13" x14ac:dyDescent="0.25">
      <c r="B42" s="671" t="s">
        <v>457</v>
      </c>
      <c r="H42" s="666">
        <f>+H26+H27</f>
        <v>1345000</v>
      </c>
    </row>
    <row r="43" spans="1:13" x14ac:dyDescent="0.25">
      <c r="B43" s="671" t="s">
        <v>458</v>
      </c>
      <c r="H43" s="666">
        <v>-1113000</v>
      </c>
    </row>
    <row r="44" spans="1:13" x14ac:dyDescent="0.25">
      <c r="B44" s="671" t="s">
        <v>459</v>
      </c>
      <c r="H44" s="666">
        <f>+H36</f>
        <v>-750000</v>
      </c>
    </row>
    <row r="45" spans="1:13" x14ac:dyDescent="0.25">
      <c r="B45" s="671" t="s">
        <v>460</v>
      </c>
      <c r="H45" s="666">
        <f>-ROUNDUP(1335559,-5)</f>
        <v>-1400000</v>
      </c>
    </row>
    <row r="46" spans="1:13" ht="15.75" thickBot="1" x14ac:dyDescent="0.3">
      <c r="B46" s="702" t="s">
        <v>461</v>
      </c>
      <c r="H46" s="702">
        <f>SUM(H41:H45)</f>
        <v>-6103169.2341724709</v>
      </c>
    </row>
    <row r="47" spans="1:13" ht="15.75" thickTop="1" x14ac:dyDescent="0.25"/>
    <row r="48" spans="1:13" s="708" customFormat="1" x14ac:dyDescent="0.25">
      <c r="B48" s="706" t="s">
        <v>462</v>
      </c>
      <c r="C48" s="707"/>
      <c r="D48" s="707">
        <v>0</v>
      </c>
      <c r="E48" s="707">
        <v>-2.8870999813079834E-8</v>
      </c>
      <c r="F48" s="707">
        <v>-6.7055225372314453E-8</v>
      </c>
      <c r="G48" s="707">
        <v>-3666089</v>
      </c>
      <c r="H48" s="707">
        <v>138399.00000004936</v>
      </c>
      <c r="L48" s="709"/>
      <c r="M48" s="709"/>
    </row>
    <row r="49" spans="1:21" x14ac:dyDescent="0.25">
      <c r="B49" s="710" t="s">
        <v>463</v>
      </c>
      <c r="C49" s="710"/>
      <c r="D49" s="710"/>
      <c r="E49" s="710"/>
      <c r="F49" t="s">
        <v>464</v>
      </c>
      <c r="G49" t="s">
        <v>465</v>
      </c>
      <c r="H49" s="711" t="s">
        <v>466</v>
      </c>
      <c r="I49" s="711"/>
      <c r="J49" s="711"/>
      <c r="K49" s="712"/>
      <c r="L49" s="712"/>
    </row>
    <row r="50" spans="1:21" ht="15.75" x14ac:dyDescent="0.25">
      <c r="B50" s="660" t="s">
        <v>441</v>
      </c>
      <c r="C50" s="713" t="s">
        <v>467</v>
      </c>
      <c r="D50" s="347"/>
      <c r="E50" s="347"/>
      <c r="F50" s="714">
        <f>+H18-F18</f>
        <v>1678226.3085714243</v>
      </c>
      <c r="G50" s="714">
        <f>+H18-G18</f>
        <v>1131307.9999999963</v>
      </c>
      <c r="H50" s="347" t="s">
        <v>468</v>
      </c>
      <c r="I50" s="347"/>
      <c r="J50" s="347"/>
      <c r="K50" s="715"/>
      <c r="L50" s="715"/>
    </row>
    <row r="51" spans="1:21" ht="15.75" x14ac:dyDescent="0.25">
      <c r="B51" s="660" t="s">
        <v>441</v>
      </c>
      <c r="C51" s="713" t="s">
        <v>469</v>
      </c>
      <c r="D51" s="347"/>
      <c r="E51" s="347"/>
      <c r="G51" s="714">
        <v>300000</v>
      </c>
      <c r="H51" s="347"/>
      <c r="I51" s="347"/>
      <c r="J51" s="347"/>
      <c r="K51" s="715"/>
      <c r="L51" s="715"/>
    </row>
    <row r="52" spans="1:21" ht="15.75" x14ac:dyDescent="0.25">
      <c r="B52" s="660" t="s">
        <v>470</v>
      </c>
      <c r="C52" s="716">
        <v>561000</v>
      </c>
      <c r="D52" s="347" t="s">
        <v>471</v>
      </c>
      <c r="E52" s="347" t="s">
        <v>472</v>
      </c>
      <c r="F52" s="347"/>
      <c r="H52" s="347"/>
      <c r="I52" s="347"/>
      <c r="J52" s="347"/>
      <c r="K52" s="715"/>
      <c r="L52" s="715"/>
    </row>
    <row r="53" spans="1:21" ht="30" customHeight="1" x14ac:dyDescent="0.25">
      <c r="B53" s="660" t="s">
        <v>473</v>
      </c>
      <c r="C53" s="716">
        <v>-200000</v>
      </c>
      <c r="E53" s="347" t="s">
        <v>474</v>
      </c>
      <c r="F53" s="347"/>
      <c r="H53" s="347"/>
      <c r="I53" s="347"/>
      <c r="J53" s="347"/>
      <c r="K53" s="715"/>
      <c r="L53" s="715"/>
    </row>
    <row r="54" spans="1:21" ht="30" customHeight="1" x14ac:dyDescent="0.25">
      <c r="B54" s="660" t="s">
        <v>443</v>
      </c>
      <c r="C54" s="717"/>
      <c r="D54" s="718"/>
      <c r="E54" s="717"/>
      <c r="F54" s="717"/>
      <c r="G54" s="717"/>
      <c r="H54" s="717"/>
      <c r="I54" s="717"/>
      <c r="J54" s="717"/>
      <c r="K54" s="719"/>
      <c r="L54" s="719"/>
    </row>
    <row r="55" spans="1:21" ht="30" customHeight="1" x14ac:dyDescent="0.25">
      <c r="B55" s="660" t="s">
        <v>289</v>
      </c>
      <c r="C55" s="713" t="s">
        <v>475</v>
      </c>
      <c r="D55" s="720"/>
      <c r="E55" s="347"/>
      <c r="F55" s="347"/>
      <c r="G55" s="347"/>
      <c r="H55" s="347"/>
      <c r="I55" s="347"/>
      <c r="J55" s="347"/>
      <c r="K55" s="715"/>
      <c r="L55" s="715"/>
    </row>
    <row r="56" spans="1:21" ht="30" customHeight="1" x14ac:dyDescent="0.25">
      <c r="B56" s="660" t="s">
        <v>289</v>
      </c>
      <c r="C56" s="721" t="s">
        <v>476</v>
      </c>
      <c r="D56" s="720"/>
      <c r="E56" s="347"/>
      <c r="F56" s="347"/>
      <c r="G56" s="347"/>
      <c r="H56" s="347"/>
      <c r="I56" s="347"/>
      <c r="J56" s="347"/>
      <c r="K56" s="715"/>
      <c r="L56" s="715"/>
    </row>
    <row r="57" spans="1:21" ht="15.75" customHeight="1" x14ac:dyDescent="0.25">
      <c r="B57" s="660" t="s">
        <v>447</v>
      </c>
      <c r="C57" s="722" t="s">
        <v>477</v>
      </c>
      <c r="D57" s="722"/>
      <c r="E57" s="722"/>
      <c r="F57" s="722"/>
      <c r="G57" s="722"/>
      <c r="H57" s="347"/>
      <c r="I57" s="347"/>
      <c r="J57" s="347"/>
      <c r="K57" s="715"/>
      <c r="L57" s="715"/>
    </row>
    <row r="58" spans="1:21" ht="15.75" x14ac:dyDescent="0.25">
      <c r="B58" s="660" t="s">
        <v>478</v>
      </c>
      <c r="C58" s="713" t="s">
        <v>479</v>
      </c>
      <c r="D58" s="347"/>
      <c r="E58" s="347"/>
      <c r="F58" s="347"/>
      <c r="G58" s="347"/>
      <c r="H58" s="347"/>
      <c r="I58" s="347"/>
      <c r="J58" s="347"/>
      <c r="K58" s="715"/>
      <c r="L58" s="715"/>
    </row>
    <row r="59" spans="1:21" ht="15.75" x14ac:dyDescent="0.25">
      <c r="B59" s="721" t="s">
        <v>445</v>
      </c>
      <c r="C59" s="713" t="s">
        <v>480</v>
      </c>
      <c r="D59" s="347"/>
      <c r="E59" s="347"/>
      <c r="F59" s="347"/>
      <c r="G59" s="347"/>
      <c r="H59" s="347"/>
      <c r="I59" s="347"/>
      <c r="J59" s="347"/>
      <c r="K59" s="715"/>
      <c r="L59" s="715"/>
    </row>
    <row r="60" spans="1:21" ht="15.75" x14ac:dyDescent="0.25">
      <c r="B60" s="721" t="s">
        <v>481</v>
      </c>
      <c r="C60" s="713" t="s">
        <v>482</v>
      </c>
      <c r="D60" s="347"/>
      <c r="E60" s="347"/>
      <c r="F60" s="347"/>
      <c r="G60" s="347"/>
      <c r="H60" s="347"/>
      <c r="I60" s="347"/>
      <c r="J60" s="347"/>
      <c r="K60" s="715"/>
      <c r="L60" s="715"/>
    </row>
    <row r="61" spans="1:21" ht="30.75" thickBot="1" x14ac:dyDescent="0.3">
      <c r="B61" s="723" t="s">
        <v>483</v>
      </c>
      <c r="F61" s="724" t="s">
        <v>484</v>
      </c>
      <c r="G61" s="725">
        <v>43738</v>
      </c>
      <c r="H61" s="725">
        <v>43373</v>
      </c>
      <c r="I61" s="726"/>
      <c r="J61" s="726"/>
      <c r="K61" s="726" t="s">
        <v>485</v>
      </c>
      <c r="L61" s="727"/>
      <c r="M61" s="727"/>
    </row>
    <row r="62" spans="1:21" x14ac:dyDescent="0.25">
      <c r="B62" t="s">
        <v>486</v>
      </c>
      <c r="C62" s="345" t="s">
        <v>487</v>
      </c>
      <c r="E62" s="728">
        <v>31.5</v>
      </c>
      <c r="F62" s="729">
        <f>5709/(31+30+31+31+29)</f>
        <v>37.559210526315788</v>
      </c>
      <c r="G62" s="729">
        <f>14254/365</f>
        <v>39.052054794520551</v>
      </c>
      <c r="H62" s="21">
        <f>16235/365</f>
        <v>44.479452054794521</v>
      </c>
      <c r="K62">
        <v>30.9</v>
      </c>
    </row>
    <row r="63" spans="1:21" x14ac:dyDescent="0.25">
      <c r="B63" t="s">
        <v>488</v>
      </c>
      <c r="C63" s="345" t="s">
        <v>489</v>
      </c>
      <c r="E63" s="728">
        <v>10.5</v>
      </c>
      <c r="F63">
        <v>15.5</v>
      </c>
      <c r="G63">
        <v>11.8</v>
      </c>
      <c r="H63">
        <v>18.100000000000001</v>
      </c>
      <c r="K63">
        <v>10.6</v>
      </c>
    </row>
    <row r="64" spans="1:21" s="659" customFormat="1" x14ac:dyDescent="0.25">
      <c r="A64"/>
      <c r="B64" t="s">
        <v>253</v>
      </c>
      <c r="C64" s="730"/>
      <c r="D64" s="345"/>
      <c r="E64" s="730"/>
      <c r="F64" s="730"/>
      <c r="G64" s="730"/>
      <c r="H64" s="730"/>
      <c r="I64" s="730"/>
      <c r="J64" s="730"/>
      <c r="K64" s="730"/>
      <c r="L64" s="731"/>
      <c r="M64" s="731"/>
      <c r="N64"/>
      <c r="O64"/>
      <c r="P64"/>
      <c r="Q64"/>
      <c r="R64"/>
      <c r="S64"/>
      <c r="T64"/>
      <c r="U64"/>
    </row>
    <row r="65" spans="1:21" s="659" customFormat="1" ht="30.75" thickBot="1" x14ac:dyDescent="0.3">
      <c r="A65"/>
      <c r="B65" t="s">
        <v>490</v>
      </c>
      <c r="C65" s="345"/>
      <c r="D65" s="345"/>
      <c r="E65" s="728"/>
      <c r="F65" s="724" t="s">
        <v>484</v>
      </c>
      <c r="G65" s="732">
        <v>43738</v>
      </c>
      <c r="H65" s="732">
        <v>43373</v>
      </c>
      <c r="I65"/>
      <c r="J65"/>
      <c r="K65" s="726" t="s">
        <v>485</v>
      </c>
      <c r="L65" s="727"/>
      <c r="M65" s="727"/>
      <c r="N65"/>
      <c r="O65"/>
      <c r="P65"/>
      <c r="Q65"/>
      <c r="R65"/>
      <c r="S65"/>
      <c r="T65"/>
      <c r="U65"/>
    </row>
    <row r="66" spans="1:21" s="659" customFormat="1" x14ac:dyDescent="0.25">
      <c r="A66"/>
      <c r="B66" t="s">
        <v>491</v>
      </c>
      <c r="C66" s="345" t="s">
        <v>492</v>
      </c>
      <c r="D66" s="345"/>
      <c r="E66" s="733">
        <v>8</v>
      </c>
      <c r="F66" s="734">
        <v>7.5</v>
      </c>
      <c r="G66" s="734">
        <v>7.2</v>
      </c>
      <c r="H66" s="734">
        <v>7.4</v>
      </c>
      <c r="I66" s="734"/>
      <c r="J66" s="734"/>
      <c r="K66" s="734">
        <v>7.6</v>
      </c>
      <c r="L66" s="705"/>
      <c r="M66" s="705"/>
      <c r="N66"/>
      <c r="O66"/>
      <c r="P66"/>
      <c r="Q66"/>
      <c r="R66"/>
      <c r="S66"/>
      <c r="T66"/>
      <c r="U66"/>
    </row>
    <row r="67" spans="1:21" s="659" customFormat="1" ht="18.75" x14ac:dyDescent="0.3">
      <c r="A67"/>
      <c r="B67" s="336" t="s">
        <v>493</v>
      </c>
      <c r="C67" s="345"/>
      <c r="D67" s="345"/>
      <c r="E67"/>
      <c r="F67"/>
      <c r="G67"/>
      <c r="H67"/>
      <c r="I67"/>
      <c r="J67"/>
      <c r="K67"/>
      <c r="L67" s="705"/>
      <c r="M67" s="705"/>
      <c r="N67"/>
      <c r="O67"/>
      <c r="P67"/>
      <c r="Q67"/>
      <c r="R67"/>
      <c r="S67"/>
      <c r="T67"/>
      <c r="U67"/>
    </row>
    <row r="71" spans="1:21" s="659" customFormat="1" x14ac:dyDescent="0.25">
      <c r="A71"/>
      <c r="B71" t="s">
        <v>494</v>
      </c>
      <c r="C71" s="345"/>
      <c r="D71" s="345"/>
      <c r="E71"/>
      <c r="F71"/>
      <c r="G71"/>
      <c r="H71"/>
      <c r="I71"/>
      <c r="J71"/>
      <c r="K71"/>
      <c r="L71" s="705"/>
      <c r="M71" s="705"/>
      <c r="N71"/>
      <c r="O71"/>
      <c r="P71"/>
      <c r="Q71"/>
      <c r="R71"/>
      <c r="S71"/>
      <c r="T71"/>
      <c r="U71"/>
    </row>
    <row r="73" spans="1:21" s="659" customFormat="1" x14ac:dyDescent="0.25">
      <c r="A73"/>
      <c r="B73" s="735" t="str">
        <f>+B41</f>
        <v>EBITDA Calculation:</v>
      </c>
      <c r="C73" s="345"/>
      <c r="D73" s="345"/>
      <c r="E73"/>
      <c r="F73"/>
      <c r="G73"/>
      <c r="H73"/>
      <c r="I73"/>
      <c r="J73"/>
      <c r="K73"/>
      <c r="L73" s="705"/>
      <c r="M73" s="705"/>
      <c r="N73"/>
      <c r="O73"/>
      <c r="P73"/>
      <c r="Q73"/>
      <c r="R73"/>
      <c r="S73"/>
      <c r="T73"/>
      <c r="U73"/>
    </row>
    <row r="74" spans="1:21" s="659" customFormat="1" x14ac:dyDescent="0.25">
      <c r="A74"/>
      <c r="B74" t="s">
        <v>495</v>
      </c>
      <c r="C74" s="345"/>
      <c r="D74" s="345"/>
      <c r="E74"/>
      <c r="F74"/>
      <c r="G74"/>
      <c r="H74" s="14">
        <f>+H41</f>
        <v>-4185169.2341724709</v>
      </c>
      <c r="I74"/>
      <c r="J74"/>
      <c r="K74"/>
      <c r="L74" s="705"/>
      <c r="M74" s="705"/>
      <c r="N74"/>
      <c r="O74"/>
      <c r="P74"/>
      <c r="Q74"/>
      <c r="R74"/>
      <c r="S74"/>
      <c r="T74"/>
      <c r="U74"/>
    </row>
    <row r="75" spans="1:21" s="659" customFormat="1" x14ac:dyDescent="0.25">
      <c r="A75"/>
      <c r="B75" t="str">
        <f t="shared" ref="B75:B77" si="17">+B42</f>
        <v>Add Depr &amp; Interest</v>
      </c>
      <c r="C75" s="345"/>
      <c r="D75" s="345"/>
      <c r="E75"/>
      <c r="F75"/>
      <c r="G75"/>
      <c r="H75" s="21">
        <f t="shared" ref="H75:H77" si="18">+H42</f>
        <v>1345000</v>
      </c>
      <c r="I75"/>
      <c r="J75"/>
      <c r="K75"/>
      <c r="L75" s="705"/>
      <c r="M75" s="705"/>
      <c r="N75"/>
      <c r="O75"/>
      <c r="P75"/>
      <c r="Q75"/>
      <c r="R75"/>
      <c r="S75"/>
      <c r="T75"/>
      <c r="U75"/>
    </row>
    <row r="76" spans="1:21" s="659" customFormat="1" x14ac:dyDescent="0.25">
      <c r="A76"/>
      <c r="B76" t="str">
        <f t="shared" si="17"/>
        <v>Debt Payments</v>
      </c>
      <c r="C76" s="345"/>
      <c r="D76" s="345"/>
      <c r="E76"/>
      <c r="F76"/>
      <c r="G76"/>
      <c r="H76" s="21">
        <f t="shared" si="18"/>
        <v>-1113000</v>
      </c>
      <c r="I76"/>
      <c r="J76"/>
      <c r="K76"/>
      <c r="L76" s="705"/>
      <c r="M76" s="705"/>
      <c r="N76"/>
      <c r="O76"/>
      <c r="P76"/>
      <c r="Q76"/>
      <c r="R76"/>
      <c r="S76"/>
      <c r="T76"/>
      <c r="U76"/>
    </row>
    <row r="77" spans="1:21" s="659" customFormat="1" x14ac:dyDescent="0.25">
      <c r="A77"/>
      <c r="B77" t="str">
        <f t="shared" si="17"/>
        <v>Pension Expenses Funding</v>
      </c>
      <c r="C77" s="345"/>
      <c r="D77" s="345"/>
      <c r="E77"/>
      <c r="F77"/>
      <c r="G77"/>
      <c r="H77" s="21">
        <f t="shared" si="18"/>
        <v>-750000</v>
      </c>
      <c r="I77"/>
      <c r="J77"/>
      <c r="K77"/>
      <c r="L77" s="705"/>
      <c r="M77" s="705"/>
      <c r="N77"/>
      <c r="O77"/>
      <c r="P77"/>
      <c r="Q77"/>
      <c r="R77"/>
      <c r="S77"/>
      <c r="T77"/>
      <c r="U77"/>
    </row>
    <row r="78" spans="1:21" s="659" customFormat="1" x14ac:dyDescent="0.25">
      <c r="A78"/>
      <c r="B78" t="str">
        <f>+B45</f>
        <v>Capital Purchases</v>
      </c>
      <c r="C78" s="345"/>
      <c r="D78" s="345"/>
      <c r="E78"/>
      <c r="F78"/>
      <c r="G78"/>
      <c r="H78" s="736">
        <f>+H45</f>
        <v>-1400000</v>
      </c>
      <c r="I78" t="s">
        <v>496</v>
      </c>
      <c r="J78" t="s">
        <v>496</v>
      </c>
      <c r="K78"/>
      <c r="L78" s="705"/>
      <c r="M78" s="705"/>
      <c r="N78"/>
      <c r="O78"/>
      <c r="P78"/>
      <c r="Q78"/>
      <c r="R78"/>
      <c r="S78"/>
      <c r="T78"/>
      <c r="U78"/>
    </row>
    <row r="79" spans="1:21" s="659" customFormat="1" x14ac:dyDescent="0.25">
      <c r="A79"/>
      <c r="B79" t="s">
        <v>497</v>
      </c>
      <c r="C79" s="345"/>
      <c r="D79" s="345"/>
      <c r="E79"/>
      <c r="F79"/>
      <c r="G79"/>
      <c r="H79" s="23">
        <f>SUM(H74:H78)</f>
        <v>-6103169.2341724709</v>
      </c>
      <c r="I79" s="737"/>
      <c r="J79" s="737"/>
      <c r="K79"/>
      <c r="L79" s="705"/>
      <c r="M79" s="705"/>
      <c r="N79"/>
      <c r="O79"/>
      <c r="P79"/>
      <c r="Q79"/>
      <c r="R79"/>
      <c r="S79"/>
      <c r="T79"/>
      <c r="U79"/>
    </row>
    <row r="80" spans="1:21" x14ac:dyDescent="0.25">
      <c r="B80" t="s">
        <v>17</v>
      </c>
      <c r="H80" s="23">
        <f>+H13</f>
        <v>48464760.06326209</v>
      </c>
    </row>
    <row r="81" spans="2:10" x14ac:dyDescent="0.25">
      <c r="B81" t="s">
        <v>498</v>
      </c>
      <c r="H81" s="23">
        <f>+H80-H79</f>
        <v>54567929.297434561</v>
      </c>
    </row>
    <row r="82" spans="2:10" x14ac:dyDescent="0.25">
      <c r="B82" t="s">
        <v>499</v>
      </c>
      <c r="H82" s="738">
        <f>+H81/H80</f>
        <v>1.125930041254839</v>
      </c>
    </row>
    <row r="83" spans="2:10" x14ac:dyDescent="0.25">
      <c r="B83" s="735" t="s">
        <v>500</v>
      </c>
      <c r="H83" s="739">
        <v>50600311</v>
      </c>
      <c r="I83" t="s">
        <v>501</v>
      </c>
      <c r="J83" t="s">
        <v>501</v>
      </c>
    </row>
    <row r="84" spans="2:10" x14ac:dyDescent="0.25">
      <c r="B84" t="s">
        <v>502</v>
      </c>
      <c r="H84" s="740">
        <f>+H81-H83</f>
        <v>3967618.297434561</v>
      </c>
    </row>
    <row r="85" spans="2:10" x14ac:dyDescent="0.25">
      <c r="B85" t="s">
        <v>503</v>
      </c>
      <c r="H85" s="741">
        <f>+H81/H83</f>
        <v>1.0784109468701597</v>
      </c>
      <c r="I85" t="s">
        <v>504</v>
      </c>
      <c r="J85" t="s">
        <v>504</v>
      </c>
    </row>
    <row r="86" spans="2:10" x14ac:dyDescent="0.25">
      <c r="B86" t="s">
        <v>505</v>
      </c>
      <c r="H86" s="735">
        <v>1.0349999999999999</v>
      </c>
    </row>
    <row r="87" spans="2:10" x14ac:dyDescent="0.25">
      <c r="B87" t="s">
        <v>506</v>
      </c>
      <c r="H87" s="21">
        <f>+H83*H86</f>
        <v>52371321.884999998</v>
      </c>
      <c r="I87" s="737"/>
      <c r="J87" s="737"/>
    </row>
    <row r="88" spans="2:10" x14ac:dyDescent="0.25">
      <c r="B88" t="s">
        <v>505</v>
      </c>
      <c r="H88" s="23">
        <f>+H87-H80</f>
        <v>3906561.8217379078</v>
      </c>
    </row>
    <row r="89" spans="2:10" x14ac:dyDescent="0.25">
      <c r="B89" t="s">
        <v>507</v>
      </c>
      <c r="H89" s="23">
        <f>+H81-H80</f>
        <v>6103169.2341724709</v>
      </c>
      <c r="I89" s="737"/>
      <c r="J89" s="737"/>
    </row>
    <row r="90" spans="2:10" x14ac:dyDescent="0.25">
      <c r="B90" t="s">
        <v>508</v>
      </c>
      <c r="H90" s="23">
        <f>+H88-H89</f>
        <v>-2196607.412434563</v>
      </c>
      <c r="I90" s="737"/>
      <c r="J90" s="737"/>
    </row>
    <row r="91" spans="2:10" x14ac:dyDescent="0.25">
      <c r="B91" t="s">
        <v>509</v>
      </c>
      <c r="H91" s="23">
        <f>+H89+H79</f>
        <v>0</v>
      </c>
      <c r="I91" t="s">
        <v>510</v>
      </c>
      <c r="J91" t="s">
        <v>510</v>
      </c>
    </row>
    <row r="92" spans="2:10" x14ac:dyDescent="0.25">
      <c r="B92" t="s">
        <v>511</v>
      </c>
      <c r="H92" s="23">
        <f>+H37+H89</f>
        <v>1228525</v>
      </c>
    </row>
    <row r="98" spans="8:10" x14ac:dyDescent="0.25">
      <c r="H98" t="s">
        <v>512</v>
      </c>
    </row>
    <row r="99" spans="8:10" x14ac:dyDescent="0.25">
      <c r="H99">
        <v>19168</v>
      </c>
    </row>
    <row r="100" spans="8:10" x14ac:dyDescent="0.25">
      <c r="H100">
        <v>5433</v>
      </c>
    </row>
    <row r="101" spans="8:10" x14ac:dyDescent="0.25">
      <c r="H101">
        <v>4946</v>
      </c>
    </row>
    <row r="102" spans="8:10" x14ac:dyDescent="0.25">
      <c r="H102">
        <v>3461</v>
      </c>
    </row>
    <row r="103" spans="8:10" x14ac:dyDescent="0.25">
      <c r="H103">
        <v>6436</v>
      </c>
    </row>
    <row r="104" spans="8:10" x14ac:dyDescent="0.25">
      <c r="H104">
        <v>2832</v>
      </c>
    </row>
    <row r="105" spans="8:10" x14ac:dyDescent="0.25">
      <c r="H105">
        <v>2076</v>
      </c>
    </row>
    <row r="106" spans="8:10" x14ac:dyDescent="0.25">
      <c r="H106">
        <v>-55043</v>
      </c>
      <c r="I106" t="s">
        <v>18</v>
      </c>
      <c r="J106" t="s">
        <v>18</v>
      </c>
    </row>
    <row r="107" spans="8:10" x14ac:dyDescent="0.25">
      <c r="H107">
        <f>SUM(H99:H106)</f>
        <v>-10691</v>
      </c>
      <c r="I107" t="s">
        <v>449</v>
      </c>
      <c r="J107" t="s">
        <v>449</v>
      </c>
    </row>
  </sheetData>
  <pageMargins left="0.7" right="0.7" top="0.75" bottom="0.75" header="0.3" footer="0.3"/>
  <pageSetup scale="50" orientation="portrait" horizontalDpi="1200" verticalDpi="1200" r:id="rId1"/>
  <headerFooter>
    <oddHeader>&amp;CSPRINGFIELD HOSPITAL
FY2022 OPERATING BUDGET</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99E37-496B-4FC7-A516-363EEA94C41D}">
  <sheetPr>
    <tabColor rgb="FF0070C0"/>
  </sheetPr>
  <dimension ref="A2:W114"/>
  <sheetViews>
    <sheetView showGridLines="0" zoomScale="80" zoomScaleNormal="80" zoomScaleSheetLayoutView="80" workbookViewId="0">
      <selection activeCell="H32" sqref="H32"/>
    </sheetView>
  </sheetViews>
  <sheetFormatPr defaultRowHeight="15" x14ac:dyDescent="0.25"/>
  <cols>
    <col min="1" max="1" width="14.42578125" customWidth="1"/>
    <col min="2" max="2" width="58.140625" customWidth="1"/>
    <col min="3" max="5" width="16.42578125" customWidth="1"/>
    <col min="6" max="8" width="18.2851562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772" t="s">
        <v>12</v>
      </c>
      <c r="C2" s="772"/>
      <c r="D2" s="772"/>
      <c r="E2" s="772"/>
      <c r="F2" s="772"/>
      <c r="G2" s="772"/>
      <c r="H2" s="772"/>
      <c r="I2" s="772"/>
      <c r="J2" s="772"/>
      <c r="K2" s="772"/>
      <c r="L2" s="772"/>
      <c r="M2" s="772"/>
      <c r="N2" s="772"/>
      <c r="O2" s="772"/>
    </row>
    <row r="3" spans="1:15" ht="21" x14ac:dyDescent="0.35">
      <c r="B3" s="773" t="s">
        <v>13</v>
      </c>
      <c r="C3" s="774"/>
      <c r="D3" s="774"/>
      <c r="E3" s="774"/>
      <c r="F3" s="774"/>
      <c r="G3" s="774"/>
      <c r="H3" s="774"/>
      <c r="I3" s="774"/>
      <c r="J3" s="774"/>
      <c r="K3" s="774"/>
      <c r="L3" s="774"/>
      <c r="M3" s="774"/>
      <c r="N3" s="774"/>
      <c r="O3" s="775"/>
    </row>
    <row r="4" spans="1:15" ht="21" x14ac:dyDescent="0.35">
      <c r="B4" s="776" t="s">
        <v>14</v>
      </c>
      <c r="C4" s="777"/>
      <c r="D4" s="777"/>
      <c r="E4" s="777"/>
      <c r="F4" s="777"/>
      <c r="G4" s="777"/>
      <c r="H4" s="777"/>
      <c r="I4" s="777"/>
      <c r="J4" s="777"/>
      <c r="K4" s="777"/>
      <c r="L4" s="777"/>
      <c r="M4" s="777"/>
      <c r="N4" s="777"/>
      <c r="O4" s="778"/>
    </row>
    <row r="6" spans="1:15" ht="18.75" x14ac:dyDescent="0.3">
      <c r="B6" s="779" t="s">
        <v>15</v>
      </c>
      <c r="C6" s="780"/>
      <c r="D6" s="780"/>
      <c r="E6" s="780"/>
      <c r="F6" s="780"/>
      <c r="G6" s="780"/>
      <c r="H6" s="780"/>
      <c r="I6" s="780"/>
      <c r="J6" s="780"/>
      <c r="K6" s="780"/>
      <c r="L6" s="780"/>
      <c r="M6" s="780"/>
      <c r="N6" s="780"/>
      <c r="O6" s="781"/>
    </row>
    <row r="7" spans="1:15" s="57" customFormat="1" ht="18.75" x14ac:dyDescent="0.3">
      <c r="B7" s="56"/>
      <c r="C7" s="56"/>
      <c r="D7" s="56"/>
      <c r="E7" s="56"/>
      <c r="F7" s="752" t="s">
        <v>521</v>
      </c>
      <c r="G7" s="751"/>
      <c r="H7" s="751"/>
      <c r="I7" s="751"/>
      <c r="J7" s="56"/>
      <c r="K7" s="56"/>
      <c r="L7" s="56"/>
      <c r="M7" s="56"/>
      <c r="N7" s="56"/>
      <c r="O7" s="56"/>
    </row>
    <row r="8" spans="1:15" ht="18.75" x14ac:dyDescent="0.3">
      <c r="B8" s="94" t="s">
        <v>16</v>
      </c>
      <c r="C8" s="4"/>
      <c r="E8" t="s">
        <v>517</v>
      </c>
    </row>
    <row r="9" spans="1:15" ht="22.15" customHeight="1" x14ac:dyDescent="0.3">
      <c r="B9" s="753" t="s">
        <v>522</v>
      </c>
      <c r="C9" s="748"/>
      <c r="D9" s="749">
        <f>+D11</f>
        <v>16916697.999999985</v>
      </c>
      <c r="E9" s="750">
        <f>+E11+H11</f>
        <v>7381986.9999999991</v>
      </c>
      <c r="F9" s="749">
        <f>+F11</f>
        <v>25791000</v>
      </c>
      <c r="G9" s="749">
        <f>+G11</f>
        <v>510627.9999999851</v>
      </c>
      <c r="H9" s="748"/>
      <c r="I9" s="4"/>
      <c r="J9" s="4"/>
      <c r="K9" s="27"/>
    </row>
    <row r="10" spans="1:15" s="101" customFormat="1" ht="30" x14ac:dyDescent="0.25">
      <c r="B10" s="99" t="s">
        <v>17</v>
      </c>
      <c r="C10" s="99" t="s">
        <v>18</v>
      </c>
      <c r="D10" s="99" t="s">
        <v>19</v>
      </c>
      <c r="E10" s="99" t="s">
        <v>20</v>
      </c>
      <c r="F10" s="99" t="s">
        <v>21</v>
      </c>
      <c r="G10" s="99" t="s">
        <v>220</v>
      </c>
      <c r="H10" s="99" t="s">
        <v>240</v>
      </c>
      <c r="I10" s="100"/>
      <c r="J10" s="102"/>
    </row>
    <row r="11" spans="1:15" x14ac:dyDescent="0.25">
      <c r="B11" s="274" t="s">
        <v>22</v>
      </c>
      <c r="C11" s="275">
        <f>SUM(D11:H11)</f>
        <v>50600312.99999997</v>
      </c>
      <c r="D11" s="651">
        <f>+'FY21 Bud Payer Mix HIDE'!G29</f>
        <v>16916697.999999985</v>
      </c>
      <c r="E11" s="651">
        <f>+'FY21 Bud Payer Mix HIDE'!C40</f>
        <v>6373059.9999999991</v>
      </c>
      <c r="F11" s="651">
        <v>25791000</v>
      </c>
      <c r="G11" s="651">
        <f>-SUM(D11:F11)+'FY21 Bud Payer Mix HIDE'!G22-H11</f>
        <v>510627.9999999851</v>
      </c>
      <c r="H11" s="280">
        <f>+'FY21 Bud Payer Mix HIDE'!G57</f>
        <v>1008927</v>
      </c>
      <c r="I11" s="283" t="s">
        <v>415</v>
      </c>
      <c r="J11" s="27"/>
    </row>
    <row r="12" spans="1:15" ht="14.45" customHeight="1" x14ac:dyDescent="0.25">
      <c r="A12" s="782"/>
      <c r="B12" s="8" t="s">
        <v>57</v>
      </c>
      <c r="C12" s="89">
        <f>SUM(D12:H12)</f>
        <v>6103704</v>
      </c>
      <c r="D12" s="280">
        <f>+'FY22 Net Rev Bud HIDE'!E79</f>
        <v>1721438</v>
      </c>
      <c r="E12" s="280">
        <f>+'FY22 Net Rev Bud HIDE'!F79</f>
        <v>1467383</v>
      </c>
      <c r="F12" s="280">
        <f>+'FY22 Net Rev Bud HIDE'!G79+'FY22 Net Rev Bud HIDE'!H79</f>
        <v>2819693</v>
      </c>
      <c r="G12" s="280">
        <f>+'FY22 Net Rev Bud HIDE'!I79+'FY22 Net Rev Bud HIDE'!J79</f>
        <v>95190</v>
      </c>
      <c r="H12" s="279"/>
      <c r="L12" s="21"/>
      <c r="M12" s="22"/>
    </row>
    <row r="13" spans="1:15" x14ac:dyDescent="0.25">
      <c r="A13" s="782"/>
      <c r="B13" s="8" t="s">
        <v>58</v>
      </c>
      <c r="C13" s="89">
        <f>SUM(D13:H13)</f>
        <v>-185000</v>
      </c>
      <c r="D13" s="280"/>
      <c r="E13" s="280"/>
      <c r="F13" s="280"/>
      <c r="G13" s="280"/>
      <c r="H13" s="93">
        <v>-185000</v>
      </c>
      <c r="I13" s="652" t="s">
        <v>413</v>
      </c>
      <c r="L13" s="21"/>
      <c r="M13" s="22"/>
    </row>
    <row r="14" spans="1:15" x14ac:dyDescent="0.25">
      <c r="A14" s="782"/>
      <c r="B14" s="8" t="s">
        <v>59</v>
      </c>
      <c r="C14" s="89">
        <f>SUM(D14:H14)</f>
        <v>-4734959.9999999693</v>
      </c>
      <c r="D14" s="280">
        <f>+'FY22 Net Rev Bud HIDE'!E82</f>
        <v>808458.0000000149</v>
      </c>
      <c r="E14" s="280">
        <f>+'FY22 Net Rev Bud HIDE'!F82-823927</f>
        <v>-2149772.9999999991</v>
      </c>
      <c r="F14" s="280">
        <f>+'FY22 Net Rev Bud HIDE'!G82+'FY22 Net Rev Bud HIDE'!H82</f>
        <v>-354929</v>
      </c>
      <c r="G14" s="280">
        <f>+'FY22 Net Rev Bud HIDE'!I82+'FY22 Net Rev Bud HIDE'!J82-G19-G20</f>
        <v>-3038715.9999999851</v>
      </c>
      <c r="H14" s="280"/>
      <c r="I14" s="652" t="s">
        <v>413</v>
      </c>
      <c r="L14" s="21"/>
      <c r="M14" s="22"/>
    </row>
    <row r="15" spans="1:15" x14ac:dyDescent="0.25">
      <c r="A15" s="782"/>
      <c r="B15" s="8" t="s">
        <v>60</v>
      </c>
      <c r="C15" s="89">
        <f t="shared" ref="C15:C19" si="0">SUM(D15:H15)</f>
        <v>0</v>
      </c>
      <c r="D15" s="279"/>
      <c r="E15" s="279"/>
      <c r="F15" s="93"/>
      <c r="G15" s="93"/>
      <c r="H15" s="93"/>
      <c r="I15" s="652"/>
      <c r="L15" s="21"/>
      <c r="M15" s="22"/>
    </row>
    <row r="16" spans="1:15" x14ac:dyDescent="0.25">
      <c r="A16" s="782"/>
      <c r="B16" s="10" t="s">
        <v>25</v>
      </c>
      <c r="C16" s="89">
        <f t="shared" si="0"/>
        <v>0</v>
      </c>
      <c r="D16" s="279"/>
      <c r="E16" s="279"/>
      <c r="F16" s="281"/>
      <c r="G16" s="281"/>
      <c r="H16" s="281"/>
      <c r="I16" s="652"/>
      <c r="L16" s="21"/>
      <c r="M16" s="22"/>
    </row>
    <row r="17" spans="1:23" x14ac:dyDescent="0.25">
      <c r="A17" s="782"/>
      <c r="B17" s="10" t="s">
        <v>26</v>
      </c>
      <c r="C17" s="89">
        <f t="shared" si="0"/>
        <v>0</v>
      </c>
      <c r="D17" s="279"/>
      <c r="E17" s="279"/>
      <c r="F17" s="93"/>
      <c r="G17" s="93"/>
      <c r="H17" s="93"/>
      <c r="I17" s="652"/>
      <c r="L17" s="21"/>
      <c r="M17" s="22"/>
    </row>
    <row r="18" spans="1:23" x14ac:dyDescent="0.25">
      <c r="A18" s="782"/>
      <c r="B18" s="10" t="s">
        <v>27</v>
      </c>
      <c r="C18" s="89">
        <f t="shared" si="0"/>
        <v>0</v>
      </c>
      <c r="D18" s="279"/>
      <c r="E18" s="279"/>
      <c r="F18" s="93"/>
      <c r="G18" s="93"/>
      <c r="H18" s="93"/>
      <c r="I18" s="652"/>
      <c r="L18" s="21"/>
      <c r="M18" s="22"/>
    </row>
    <row r="19" spans="1:23" x14ac:dyDescent="0.25">
      <c r="A19" s="782"/>
      <c r="B19" s="10" t="s">
        <v>61</v>
      </c>
      <c r="C19" s="89">
        <f t="shared" si="0"/>
        <v>2450000</v>
      </c>
      <c r="D19" s="279"/>
      <c r="E19" s="279"/>
      <c r="F19" s="93"/>
      <c r="G19" s="93">
        <v>2450000</v>
      </c>
      <c r="H19" s="93">
        <v>0</v>
      </c>
      <c r="I19" s="652" t="s">
        <v>413</v>
      </c>
      <c r="L19" s="21"/>
      <c r="M19" s="22"/>
    </row>
    <row r="20" spans="1:23" x14ac:dyDescent="0.25">
      <c r="B20" s="88" t="s">
        <v>248</v>
      </c>
      <c r="C20" s="89">
        <f>SUM(D20:H20)</f>
        <v>335000</v>
      </c>
      <c r="D20" s="279"/>
      <c r="E20" s="279"/>
      <c r="F20" s="281"/>
      <c r="G20" s="281">
        <v>335000</v>
      </c>
      <c r="H20" s="281">
        <v>0</v>
      </c>
      <c r="I20" s="652" t="s">
        <v>413</v>
      </c>
      <c r="O20" s="21"/>
      <c r="P20" s="22"/>
    </row>
    <row r="21" spans="1:23" x14ac:dyDescent="0.25">
      <c r="B21" s="88" t="s">
        <v>285</v>
      </c>
      <c r="C21" s="89">
        <f>SUM(D21:H21)</f>
        <v>0</v>
      </c>
      <c r="D21" s="279"/>
      <c r="E21" s="279">
        <v>824000</v>
      </c>
      <c r="F21" s="633"/>
      <c r="G21" s="633"/>
      <c r="H21" s="633">
        <v>-824000</v>
      </c>
      <c r="O21" s="21"/>
      <c r="P21" s="22"/>
    </row>
    <row r="22" spans="1:23" x14ac:dyDescent="0.25">
      <c r="B22" s="88" t="s">
        <v>28</v>
      </c>
      <c r="C22" s="89">
        <f>SUM(D22:H22)</f>
        <v>0</v>
      </c>
      <c r="D22" s="279"/>
      <c r="E22" s="279"/>
      <c r="F22" s="281"/>
      <c r="G22" s="281"/>
      <c r="H22" s="281"/>
      <c r="O22" s="21"/>
      <c r="P22" s="22"/>
    </row>
    <row r="23" spans="1:23" x14ac:dyDescent="0.25">
      <c r="B23" s="11" t="s">
        <v>29</v>
      </c>
      <c r="C23" s="6">
        <f t="shared" ref="C23:H23" si="1">SUM(C11:C22)</f>
        <v>54569057</v>
      </c>
      <c r="D23" s="6">
        <f>SUM(D11:D22)</f>
        <v>19446594</v>
      </c>
      <c r="E23" s="6">
        <f t="shared" si="1"/>
        <v>6514670</v>
      </c>
      <c r="F23" s="6">
        <f t="shared" si="1"/>
        <v>28255764</v>
      </c>
      <c r="G23" s="6">
        <f t="shared" si="1"/>
        <v>352102</v>
      </c>
      <c r="H23" s="6">
        <f t="shared" si="1"/>
        <v>-73</v>
      </c>
      <c r="I23" s="14"/>
      <c r="O23" s="21"/>
      <c r="P23" s="22"/>
    </row>
    <row r="24" spans="1:23" x14ac:dyDescent="0.25">
      <c r="C24" s="658"/>
      <c r="D24" s="658"/>
      <c r="E24" s="658"/>
      <c r="F24" s="658"/>
      <c r="G24" s="658"/>
      <c r="H24" s="658"/>
      <c r="I24" s="276"/>
      <c r="J24" s="23"/>
      <c r="O24" s="21"/>
      <c r="P24" s="22"/>
    </row>
    <row r="25" spans="1:23" x14ac:dyDescent="0.25">
      <c r="B25" s="745" t="s">
        <v>30</v>
      </c>
      <c r="C25" s="746">
        <f>+C23-C11</f>
        <v>3968744.0000000298</v>
      </c>
      <c r="D25" s="746">
        <f>+D23-D9</f>
        <v>2529896.0000000149</v>
      </c>
      <c r="E25" s="746">
        <f t="shared" ref="E25:G25" si="2">+E23-E9</f>
        <v>-867316.99999999907</v>
      </c>
      <c r="F25" s="746">
        <f t="shared" si="2"/>
        <v>2464764</v>
      </c>
      <c r="G25" s="746">
        <f t="shared" si="2"/>
        <v>-158525.9999999851</v>
      </c>
      <c r="H25" s="746">
        <f t="shared" ref="H25" si="3">+H23-H11</f>
        <v>-1009000</v>
      </c>
      <c r="I25" s="14" t="s">
        <v>518</v>
      </c>
      <c r="O25" s="21"/>
      <c r="P25" s="22"/>
    </row>
    <row r="26" spans="1:23" x14ac:dyDescent="0.25">
      <c r="B26" s="745" t="s">
        <v>31</v>
      </c>
      <c r="C26" s="747">
        <f>(C25)/C11</f>
        <v>7.8433190719591636E-2</v>
      </c>
      <c r="D26" s="747">
        <f t="shared" ref="D26:G26" si="4">(D25)/D11</f>
        <v>0.14955022546362282</v>
      </c>
      <c r="E26" s="747">
        <f t="shared" si="4"/>
        <v>-0.13609113989198268</v>
      </c>
      <c r="F26" s="747">
        <f t="shared" si="4"/>
        <v>9.5566825636850067E-2</v>
      </c>
      <c r="G26" s="747">
        <f t="shared" si="4"/>
        <v>-0.31045301080236437</v>
      </c>
      <c r="H26" s="747"/>
      <c r="O26" s="21"/>
      <c r="P26" s="22"/>
    </row>
    <row r="27" spans="1:23" x14ac:dyDescent="0.25">
      <c r="B27" s="207"/>
      <c r="C27" s="207"/>
      <c r="D27" s="207"/>
      <c r="E27" s="60"/>
      <c r="F27" s="60"/>
      <c r="G27" s="60"/>
      <c r="H27" s="60"/>
      <c r="O27" s="21"/>
      <c r="P27" s="22"/>
    </row>
    <row r="28" spans="1:23" x14ac:dyDescent="0.25">
      <c r="B28" s="28" t="s">
        <v>32</v>
      </c>
      <c r="C28" s="65">
        <f>'5. Vaccine Clinics and Testing'!D23</f>
        <v>0</v>
      </c>
      <c r="D28" s="60"/>
      <c r="E28" s="60"/>
      <c r="F28" s="60"/>
      <c r="G28" s="60"/>
      <c r="H28" s="60"/>
      <c r="O28" s="21"/>
      <c r="P28" s="22"/>
    </row>
    <row r="29" spans="1:23" ht="30" x14ac:dyDescent="0.25">
      <c r="B29" s="208" t="s">
        <v>33</v>
      </c>
      <c r="C29" s="209">
        <f>C23-C28</f>
        <v>54569057</v>
      </c>
      <c r="D29" s="97"/>
      <c r="E29" s="97"/>
      <c r="H29" s="276">
        <f>SUM(C13:C20)</f>
        <v>-2134959.9999999693</v>
      </c>
      <c r="I29" s="283" t="s">
        <v>414</v>
      </c>
      <c r="J29" s="283"/>
      <c r="K29" s="653"/>
      <c r="L29" s="653"/>
      <c r="M29" s="14"/>
      <c r="N29" s="23"/>
      <c r="V29" s="21"/>
      <c r="W29" s="22"/>
    </row>
    <row r="30" spans="1:23" x14ac:dyDescent="0.25">
      <c r="B30" s="207"/>
      <c r="C30" s="278"/>
      <c r="D30" s="15"/>
      <c r="E30" s="15"/>
      <c r="H30" s="201">
        <f>+'INCOME STATEMENT 0% INCR HIDE'!K13</f>
        <v>-2135553.9367379099</v>
      </c>
      <c r="I30" s="283" t="s">
        <v>516</v>
      </c>
      <c r="J30" s="283"/>
      <c r="K30" s="653"/>
      <c r="L30" s="653"/>
      <c r="M30" s="14"/>
      <c r="N30" s="23"/>
      <c r="V30" s="21"/>
      <c r="W30" s="22"/>
    </row>
    <row r="31" spans="1:23" x14ac:dyDescent="0.25">
      <c r="B31" s="28" t="s">
        <v>34</v>
      </c>
      <c r="C31" s="65">
        <f>C29-C11</f>
        <v>3968744.0000000298</v>
      </c>
      <c r="D31" s="15"/>
      <c r="E31" s="15"/>
      <c r="H31" s="737"/>
      <c r="O31" s="21"/>
      <c r="P31" s="22"/>
    </row>
    <row r="32" spans="1:23" x14ac:dyDescent="0.25">
      <c r="B32" s="54" t="s">
        <v>35</v>
      </c>
      <c r="C32" s="55">
        <f>(C31)/C11</f>
        <v>7.8433190719591636E-2</v>
      </c>
      <c r="D32" s="15"/>
      <c r="E32" s="15"/>
      <c r="O32" s="21"/>
      <c r="P32" s="22"/>
    </row>
    <row r="33" spans="2:23" x14ac:dyDescent="0.25">
      <c r="B33" s="207"/>
      <c r="C33" s="277"/>
      <c r="D33" s="60"/>
      <c r="E33" s="60"/>
      <c r="F33" s="60"/>
      <c r="G33" s="60"/>
      <c r="H33" s="60"/>
      <c r="O33" s="21"/>
      <c r="P33" s="22"/>
    </row>
    <row r="34" spans="2:23" ht="28.15" customHeight="1" x14ac:dyDescent="0.3">
      <c r="B34" s="94" t="s">
        <v>36</v>
      </c>
      <c r="C34" s="4"/>
      <c r="D34" s="15"/>
      <c r="E34" s="15"/>
      <c r="V34" s="21"/>
      <c r="W34" s="22"/>
    </row>
    <row r="35" spans="2:23" ht="18.75" x14ac:dyDescent="0.3">
      <c r="B35" s="94"/>
      <c r="C35" s="4"/>
      <c r="D35" s="15"/>
      <c r="E35" s="15"/>
      <c r="V35" s="21"/>
      <c r="W35" s="22"/>
    </row>
    <row r="36" spans="2:23" s="87" customFormat="1" x14ac:dyDescent="0.25">
      <c r="B36" s="96" t="s">
        <v>37</v>
      </c>
      <c r="C36" s="96" t="s">
        <v>38</v>
      </c>
      <c r="D36" s="96" t="s">
        <v>39</v>
      </c>
      <c r="E36" s="51"/>
      <c r="V36" s="97"/>
      <c r="W36" s="98"/>
    </row>
    <row r="37" spans="2:23" x14ac:dyDescent="0.25">
      <c r="B37" s="5" t="s">
        <v>40</v>
      </c>
      <c r="C37" s="89">
        <v>51668117</v>
      </c>
      <c r="D37" s="7"/>
      <c r="E37" s="60"/>
      <c r="V37" s="21"/>
      <c r="W37" s="22"/>
    </row>
    <row r="38" spans="2:23" x14ac:dyDescent="0.25">
      <c r="B38" s="8" t="s">
        <v>41</v>
      </c>
      <c r="C38" s="279">
        <v>796000</v>
      </c>
      <c r="D38" s="9">
        <f>+C38/C$37</f>
        <v>1.5406019151036605E-2</v>
      </c>
      <c r="E38" s="332" t="s">
        <v>300</v>
      </c>
      <c r="H38" t="s">
        <v>301</v>
      </c>
      <c r="V38" s="21"/>
    </row>
    <row r="39" spans="2:23" x14ac:dyDescent="0.25">
      <c r="B39" s="10" t="s">
        <v>42</v>
      </c>
      <c r="C39" s="344">
        <f>+'4. Inflation'!D16</f>
        <v>843070</v>
      </c>
      <c r="D39" s="9">
        <f t="shared" ref="D39:D51" si="5">+C39/C$37</f>
        <v>1.6317025836261847E-2</v>
      </c>
      <c r="E39" s="264" t="s">
        <v>241</v>
      </c>
      <c r="V39" s="21"/>
    </row>
    <row r="40" spans="2:23" x14ac:dyDescent="0.25">
      <c r="B40" s="10" t="s">
        <v>43</v>
      </c>
      <c r="C40" s="279"/>
      <c r="D40" s="9">
        <f t="shared" si="5"/>
        <v>0</v>
      </c>
      <c r="E40" s="52"/>
      <c r="V40" s="21"/>
    </row>
    <row r="41" spans="2:23" x14ac:dyDescent="0.25">
      <c r="B41" s="10" t="s">
        <v>44</v>
      </c>
      <c r="C41" s="279">
        <f>451282-'4. Inflation'!D11</f>
        <v>286436</v>
      </c>
      <c r="D41" s="9">
        <f t="shared" si="5"/>
        <v>5.5437669617416094E-3</v>
      </c>
      <c r="E41" s="52"/>
      <c r="V41" s="21"/>
    </row>
    <row r="42" spans="2:23" x14ac:dyDescent="0.25">
      <c r="B42" s="10" t="s">
        <v>45</v>
      </c>
      <c r="C42" s="279">
        <v>921189</v>
      </c>
      <c r="D42" s="9">
        <f t="shared" si="5"/>
        <v>1.7828964039854598E-2</v>
      </c>
      <c r="E42" s="52"/>
      <c r="F42" s="345"/>
      <c r="G42" s="345"/>
      <c r="V42" s="21"/>
    </row>
    <row r="43" spans="2:23" x14ac:dyDescent="0.25">
      <c r="B43" s="10" t="s">
        <v>46</v>
      </c>
      <c r="C43" s="279">
        <v>355000</v>
      </c>
      <c r="D43" s="9">
        <f t="shared" si="5"/>
        <v>6.8707748726356717E-3</v>
      </c>
      <c r="E43" s="52"/>
      <c r="F43" s="345"/>
      <c r="G43" s="345"/>
      <c r="V43" s="21"/>
    </row>
    <row r="44" spans="2:23" x14ac:dyDescent="0.25">
      <c r="B44" s="10" t="s">
        <v>47</v>
      </c>
      <c r="C44" s="279"/>
      <c r="D44" s="9">
        <f t="shared" si="5"/>
        <v>0</v>
      </c>
      <c r="E44" s="52"/>
      <c r="F44" s="345"/>
      <c r="G44" s="345"/>
    </row>
    <row r="45" spans="2:23" x14ac:dyDescent="0.25">
      <c r="B45" s="10" t="s">
        <v>48</v>
      </c>
      <c r="C45" s="279">
        <v>-242817</v>
      </c>
      <c r="D45" s="9">
        <f t="shared" si="5"/>
        <v>-4.6995519499965516E-3</v>
      </c>
      <c r="E45" s="52"/>
      <c r="F45" s="345"/>
      <c r="G45" s="345"/>
    </row>
    <row r="46" spans="2:23" x14ac:dyDescent="0.25">
      <c r="B46" s="10" t="s">
        <v>49</v>
      </c>
      <c r="C46" s="279"/>
      <c r="D46" s="9">
        <f>+C46/C$37</f>
        <v>0</v>
      </c>
      <c r="E46" s="78"/>
      <c r="F46" s="345"/>
      <c r="G46" s="345"/>
    </row>
    <row r="47" spans="2:23" x14ac:dyDescent="0.25">
      <c r="B47" s="88" t="s">
        <v>302</v>
      </c>
      <c r="C47" s="279">
        <v>-638793</v>
      </c>
      <c r="D47" s="9">
        <f t="shared" ref="D47:D48" si="6">+C47/C$37</f>
        <v>-1.2363388431593124E-2</v>
      </c>
      <c r="E47" s="52"/>
      <c r="F47" s="345"/>
      <c r="G47" s="345"/>
    </row>
    <row r="48" spans="2:23" x14ac:dyDescent="0.25">
      <c r="B48" s="88" t="s">
        <v>289</v>
      </c>
      <c r="C48" s="279">
        <f>451282-'4. Inflation'!D13</f>
        <v>258921</v>
      </c>
      <c r="D48" s="9">
        <f t="shared" si="6"/>
        <v>5.0112335233738056E-3</v>
      </c>
      <c r="E48" s="52"/>
      <c r="F48" s="345"/>
      <c r="G48" s="345"/>
    </row>
    <row r="49" spans="2:23" x14ac:dyDescent="0.25">
      <c r="B49" s="88" t="s">
        <v>304</v>
      </c>
      <c r="C49" s="279">
        <v>-39204</v>
      </c>
      <c r="D49" s="9">
        <f t="shared" si="5"/>
        <v>-7.5876579748396873E-4</v>
      </c>
      <c r="E49" s="52"/>
    </row>
    <row r="50" spans="2:23" x14ac:dyDescent="0.25">
      <c r="B50" s="88" t="s">
        <v>28</v>
      </c>
      <c r="C50" s="279">
        <f>55043929-SUM(C37:C49)</f>
        <v>836010</v>
      </c>
      <c r="D50" s="9">
        <f t="shared" si="5"/>
        <v>1.618038451062577E-2</v>
      </c>
      <c r="E50" s="52"/>
    </row>
    <row r="51" spans="2:23" x14ac:dyDescent="0.25">
      <c r="B51" s="88" t="s">
        <v>50</v>
      </c>
      <c r="C51" s="279"/>
      <c r="D51" s="9">
        <f t="shared" si="5"/>
        <v>0</v>
      </c>
      <c r="E51" s="52"/>
    </row>
    <row r="52" spans="2:23" x14ac:dyDescent="0.25">
      <c r="B52" s="11" t="s">
        <v>51</v>
      </c>
      <c r="C52" s="12">
        <f>SUM(C37:C51)</f>
        <v>55043929</v>
      </c>
      <c r="D52" s="13">
        <f>SUM(D38:D51)</f>
        <v>6.5336462716456267E-2</v>
      </c>
      <c r="E52" s="333">
        <v>55043929.297434561</v>
      </c>
      <c r="F52" s="334">
        <f>+E52-C52</f>
        <v>0.29743456095457077</v>
      </c>
    </row>
    <row r="53" spans="2:23" x14ac:dyDescent="0.25">
      <c r="B53" s="85"/>
      <c r="C53" s="86"/>
      <c r="D53" s="78"/>
      <c r="E53" s="78"/>
    </row>
    <row r="54" spans="2:23" x14ac:dyDescent="0.25">
      <c r="B54" s="28" t="s">
        <v>30</v>
      </c>
      <c r="C54" s="65">
        <f>+C52-C37</f>
        <v>3375812</v>
      </c>
      <c r="D54" s="78"/>
      <c r="E54" s="78"/>
    </row>
    <row r="55" spans="2:23" x14ac:dyDescent="0.25">
      <c r="B55" s="54" t="s">
        <v>31</v>
      </c>
      <c r="C55" s="55">
        <f>(C54)/C37</f>
        <v>6.5336462716456267E-2</v>
      </c>
      <c r="D55" s="78"/>
      <c r="E55" s="78"/>
    </row>
    <row r="56" spans="2:23" x14ac:dyDescent="0.25">
      <c r="B56" s="207"/>
      <c r="C56" s="60"/>
      <c r="D56" s="60"/>
      <c r="E56" s="60"/>
      <c r="F56" s="60"/>
      <c r="G56" s="60"/>
      <c r="H56" s="60"/>
      <c r="O56" s="21"/>
      <c r="P56" s="22"/>
    </row>
    <row r="57" spans="2:23" x14ac:dyDescent="0.25">
      <c r="B57" s="28" t="s">
        <v>32</v>
      </c>
      <c r="C57" s="65">
        <f>'5. Vaccine Clinics and Testing'!D36</f>
        <v>561000</v>
      </c>
      <c r="D57" s="60"/>
      <c r="E57" s="60"/>
      <c r="F57" s="60"/>
      <c r="G57" s="60"/>
      <c r="H57" s="60"/>
      <c r="O57" s="21"/>
      <c r="P57" s="22"/>
    </row>
    <row r="58" spans="2:23" ht="30" x14ac:dyDescent="0.25">
      <c r="B58" s="208" t="s">
        <v>33</v>
      </c>
      <c r="C58" s="209">
        <f>C52-C57</f>
        <v>54482929</v>
      </c>
      <c r="D58" s="15"/>
      <c r="E58" s="15"/>
      <c r="K58" s="22"/>
      <c r="L58" s="22"/>
      <c r="M58" s="14"/>
      <c r="N58" s="23"/>
      <c r="V58" s="21"/>
      <c r="W58" s="22"/>
    </row>
    <row r="59" spans="2:23" x14ac:dyDescent="0.25">
      <c r="B59" s="207"/>
      <c r="C59" s="60"/>
      <c r="D59" s="15"/>
      <c r="E59" s="15"/>
      <c r="K59" s="22"/>
      <c r="L59" s="22"/>
      <c r="M59" s="14"/>
      <c r="N59" s="23"/>
      <c r="V59" s="21"/>
      <c r="W59" s="22"/>
    </row>
    <row r="60" spans="2:23" x14ac:dyDescent="0.25">
      <c r="B60" s="28" t="s">
        <v>34</v>
      </c>
      <c r="C60" s="65">
        <f>C58-C37</f>
        <v>2814812</v>
      </c>
      <c r="D60" s="15"/>
      <c r="E60" s="15"/>
      <c r="O60" s="21"/>
      <c r="P60" s="22"/>
    </row>
    <row r="61" spans="2:23" x14ac:dyDescent="0.25">
      <c r="B61" s="54" t="s">
        <v>35</v>
      </c>
      <c r="C61" s="631">
        <f>(C60)/C37</f>
        <v>5.4478702988150315E-2</v>
      </c>
      <c r="D61" s="15"/>
      <c r="E61" s="15"/>
      <c r="O61" s="21"/>
      <c r="P61" s="22"/>
    </row>
    <row r="62" spans="2:23" x14ac:dyDescent="0.25">
      <c r="B62" s="207"/>
      <c r="C62" s="60"/>
      <c r="D62" s="60"/>
      <c r="E62" s="60"/>
      <c r="F62" s="60"/>
      <c r="G62" s="60"/>
      <c r="H62" s="60"/>
      <c r="O62" s="21"/>
      <c r="P62" s="22"/>
    </row>
    <row r="64" spans="2:23" ht="18.75" x14ac:dyDescent="0.3">
      <c r="B64" s="779" t="s">
        <v>52</v>
      </c>
      <c r="C64" s="780"/>
      <c r="D64" s="780"/>
      <c r="E64" s="780"/>
      <c r="F64" s="780"/>
      <c r="G64" s="780"/>
      <c r="H64" s="780"/>
      <c r="I64" s="780"/>
      <c r="J64" s="780"/>
      <c r="K64" s="780"/>
      <c r="L64" s="780"/>
      <c r="M64" s="780"/>
      <c r="N64" s="780"/>
      <c r="O64" s="781"/>
      <c r="V64" s="21"/>
      <c r="W64" s="22"/>
    </row>
    <row r="65" spans="1:13" x14ac:dyDescent="0.25">
      <c r="B65" s="17"/>
    </row>
    <row r="66" spans="1:13" ht="18.75" x14ac:dyDescent="0.3">
      <c r="B66" s="94" t="s">
        <v>53</v>
      </c>
      <c r="C66" s="4"/>
    </row>
    <row r="67" spans="1:13" ht="18.75" x14ac:dyDescent="0.3">
      <c r="B67" s="94"/>
      <c r="C67" s="4"/>
    </row>
    <row r="68" spans="1:13" ht="18.75" x14ac:dyDescent="0.3">
      <c r="B68" s="94" t="s">
        <v>54</v>
      </c>
      <c r="C68" s="346" t="s">
        <v>55</v>
      </c>
    </row>
    <row r="69" spans="1:13" s="87" customFormat="1" ht="30" x14ac:dyDescent="0.25">
      <c r="B69" s="95" t="s">
        <v>17</v>
      </c>
      <c r="C69" s="95" t="s">
        <v>18</v>
      </c>
      <c r="D69" s="95" t="s">
        <v>19</v>
      </c>
      <c r="E69" s="95" t="s">
        <v>20</v>
      </c>
      <c r="F69" s="95" t="s">
        <v>21</v>
      </c>
      <c r="G69" s="95" t="s">
        <v>220</v>
      </c>
      <c r="H69" s="95" t="s">
        <v>240</v>
      </c>
    </row>
    <row r="70" spans="1:13" x14ac:dyDescent="0.25">
      <c r="B70" s="5" t="s">
        <v>56</v>
      </c>
      <c r="C70" s="616">
        <f>SUM(D70:H70)</f>
        <v>49288912</v>
      </c>
      <c r="D70" s="656">
        <v>17725000</v>
      </c>
      <c r="E70" s="616">
        <v>5047000</v>
      </c>
      <c r="F70" s="616">
        <f>9773000+15663000</f>
        <v>25436000</v>
      </c>
      <c r="G70" s="616">
        <f>429119-172207</f>
        <v>256912</v>
      </c>
      <c r="H70" s="89">
        <v>824000</v>
      </c>
      <c r="I70" s="654">
        <v>45212645</v>
      </c>
      <c r="J70" s="276">
        <f>+I70-C70</f>
        <v>-4076267</v>
      </c>
    </row>
    <row r="71" spans="1:13" ht="14.45" customHeight="1" x14ac:dyDescent="0.25">
      <c r="A71" s="771"/>
      <c r="B71" s="8" t="s">
        <v>57</v>
      </c>
      <c r="C71" s="89">
        <f>SUM(D71:H71)</f>
        <v>5993000</v>
      </c>
      <c r="D71" s="282">
        <v>2057000</v>
      </c>
      <c r="E71" s="270">
        <v>610000</v>
      </c>
      <c r="F71" s="271">
        <v>2877000</v>
      </c>
      <c r="G71" s="271">
        <v>449000</v>
      </c>
      <c r="H71" s="271"/>
      <c r="I71" s="283" t="s">
        <v>249</v>
      </c>
      <c r="L71" s="21"/>
      <c r="M71" s="22"/>
    </row>
    <row r="72" spans="1:13" x14ac:dyDescent="0.25">
      <c r="A72" s="771"/>
      <c r="B72" s="8" t="s">
        <v>58</v>
      </c>
      <c r="C72" s="89">
        <f>SUM(D72:H72)</f>
        <v>0</v>
      </c>
      <c r="D72" s="269"/>
      <c r="E72" s="270"/>
      <c r="F72" s="271"/>
      <c r="G72" s="271"/>
      <c r="H72" s="271"/>
      <c r="L72" s="21"/>
      <c r="M72" s="22"/>
    </row>
    <row r="73" spans="1:13" x14ac:dyDescent="0.25">
      <c r="A73" s="771"/>
      <c r="B73" s="8" t="s">
        <v>59</v>
      </c>
      <c r="C73" s="89">
        <f>SUM(D73:H73)</f>
        <v>-360912</v>
      </c>
      <c r="D73" s="269">
        <f>19446000-19782000-2000</f>
        <v>-338000</v>
      </c>
      <c r="E73" s="270">
        <f>6515000-6481000</f>
        <v>34000</v>
      </c>
      <c r="F73" s="271">
        <f>28256000-28313000</f>
        <v>-57000</v>
      </c>
      <c r="G73" s="271">
        <f>352000-351912</f>
        <v>88</v>
      </c>
      <c r="H73" s="271"/>
      <c r="I73" s="283" t="s">
        <v>251</v>
      </c>
      <c r="L73" s="21"/>
      <c r="M73" s="22"/>
    </row>
    <row r="74" spans="1:13" x14ac:dyDescent="0.25">
      <c r="A74" s="771"/>
      <c r="B74" s="8" t="s">
        <v>60</v>
      </c>
      <c r="C74" s="89">
        <f t="shared" ref="C74:C81" si="7">SUM(D74:H74)</f>
        <v>0</v>
      </c>
      <c r="D74" s="269"/>
      <c r="E74" s="270"/>
      <c r="F74" s="271"/>
      <c r="G74" s="271"/>
      <c r="H74" s="271"/>
      <c r="L74" s="21"/>
      <c r="M74" s="22"/>
    </row>
    <row r="75" spans="1:13" x14ac:dyDescent="0.25">
      <c r="B75" s="10" t="s">
        <v>25</v>
      </c>
      <c r="C75" s="89">
        <f t="shared" si="7"/>
        <v>0</v>
      </c>
      <c r="D75" s="269"/>
      <c r="E75" s="270"/>
      <c r="F75" s="272"/>
      <c r="G75" s="272"/>
      <c r="H75" s="272"/>
      <c r="L75" s="21"/>
      <c r="M75" s="22"/>
    </row>
    <row r="76" spans="1:13" x14ac:dyDescent="0.25">
      <c r="B76" s="10" t="s">
        <v>26</v>
      </c>
      <c r="C76" s="89">
        <f t="shared" si="7"/>
        <v>0</v>
      </c>
      <c r="D76" s="269"/>
      <c r="E76" s="270"/>
      <c r="F76" s="271"/>
      <c r="G76" s="271"/>
      <c r="H76" s="271"/>
      <c r="L76" s="21"/>
      <c r="M76" s="22"/>
    </row>
    <row r="77" spans="1:13" x14ac:dyDescent="0.25">
      <c r="B77" s="10" t="s">
        <v>27</v>
      </c>
      <c r="C77" s="89">
        <f t="shared" si="7"/>
        <v>0</v>
      </c>
      <c r="D77" s="269"/>
      <c r="E77" s="270"/>
      <c r="F77" s="271"/>
      <c r="G77" s="271"/>
      <c r="H77" s="271"/>
      <c r="L77" s="21"/>
      <c r="M77" s="22"/>
    </row>
    <row r="78" spans="1:13" x14ac:dyDescent="0.25">
      <c r="B78" s="10" t="s">
        <v>61</v>
      </c>
      <c r="C78" s="89">
        <f t="shared" si="7"/>
        <v>-354000</v>
      </c>
      <c r="D78" s="269"/>
      <c r="E78" s="270"/>
      <c r="F78" s="271"/>
      <c r="G78" s="271">
        <v>-354000</v>
      </c>
      <c r="H78" s="271"/>
      <c r="I78" s="283" t="s">
        <v>250</v>
      </c>
      <c r="L78" s="21"/>
      <c r="M78" s="22"/>
    </row>
    <row r="79" spans="1:13" x14ac:dyDescent="0.25">
      <c r="B79" s="88" t="s">
        <v>28</v>
      </c>
      <c r="C79" s="89">
        <f t="shared" si="7"/>
        <v>0</v>
      </c>
      <c r="D79" s="269"/>
      <c r="E79" s="270">
        <v>824000</v>
      </c>
      <c r="F79" s="272"/>
      <c r="G79" s="272"/>
      <c r="H79" s="272">
        <v>-824000</v>
      </c>
      <c r="L79" s="21"/>
      <c r="M79" s="22"/>
    </row>
    <row r="80" spans="1:13" x14ac:dyDescent="0.25">
      <c r="B80" s="88" t="s">
        <v>28</v>
      </c>
      <c r="C80" s="89">
        <f t="shared" si="7"/>
        <v>0</v>
      </c>
      <c r="D80" s="269"/>
      <c r="E80" s="270"/>
      <c r="F80" s="272"/>
      <c r="G80" s="272"/>
      <c r="H80" s="272"/>
      <c r="L80" s="21"/>
      <c r="M80" s="22"/>
    </row>
    <row r="81" spans="2:23" x14ac:dyDescent="0.25">
      <c r="B81" s="88" t="s">
        <v>28</v>
      </c>
      <c r="C81" s="89">
        <f t="shared" si="7"/>
        <v>0</v>
      </c>
      <c r="D81" s="90"/>
      <c r="E81" s="91"/>
      <c r="F81" s="92"/>
      <c r="G81" s="92"/>
      <c r="H81" s="92"/>
      <c r="L81" s="21"/>
      <c r="M81" s="22"/>
    </row>
    <row r="82" spans="2:23" x14ac:dyDescent="0.25">
      <c r="B82" s="11" t="s">
        <v>29</v>
      </c>
      <c r="C82" s="6">
        <f t="shared" ref="C82:H82" si="8">SUM(C70:C81)</f>
        <v>54567000</v>
      </c>
      <c r="D82" s="53">
        <f t="shared" si="8"/>
        <v>19444000</v>
      </c>
      <c r="E82" s="53">
        <f t="shared" si="8"/>
        <v>6515000</v>
      </c>
      <c r="F82" s="53">
        <f t="shared" si="8"/>
        <v>28256000</v>
      </c>
      <c r="G82" s="53">
        <f t="shared" si="8"/>
        <v>352000</v>
      </c>
      <c r="H82" s="53">
        <f t="shared" si="8"/>
        <v>0</v>
      </c>
      <c r="L82" s="21"/>
      <c r="M82" s="22"/>
    </row>
    <row r="83" spans="2:23" x14ac:dyDescent="0.25">
      <c r="L83" s="21"/>
      <c r="M83" s="22"/>
    </row>
    <row r="84" spans="2:23" x14ac:dyDescent="0.25">
      <c r="B84" s="28" t="s">
        <v>62</v>
      </c>
      <c r="C84" s="65">
        <f>+C82-C70</f>
        <v>5278088</v>
      </c>
      <c r="D84" s="65">
        <f t="shared" ref="D84:E84" si="9">+D82-D70</f>
        <v>1719000</v>
      </c>
      <c r="E84" s="65">
        <f t="shared" si="9"/>
        <v>1468000</v>
      </c>
      <c r="F84" s="19">
        <f>+F82-F70</f>
        <v>2820000</v>
      </c>
      <c r="G84" s="19">
        <f>+G82-G70</f>
        <v>95088</v>
      </c>
      <c r="H84" s="19">
        <f>+H82-H70</f>
        <v>-824000</v>
      </c>
      <c r="L84" s="21"/>
      <c r="M84" s="22"/>
    </row>
    <row r="85" spans="2:23" x14ac:dyDescent="0.25">
      <c r="B85" s="54" t="s">
        <v>63</v>
      </c>
      <c r="C85" s="55">
        <f>(C84)/C70</f>
        <v>0.10708469280068507</v>
      </c>
      <c r="D85" s="55">
        <f t="shared" ref="D85:H85" si="10">(D84)/D70</f>
        <v>9.6981664315937938E-2</v>
      </c>
      <c r="E85" s="55">
        <f t="shared" si="10"/>
        <v>0.2908658609074698</v>
      </c>
      <c r="F85" s="55">
        <f t="shared" si="10"/>
        <v>0.11086648844157887</v>
      </c>
      <c r="G85" s="55">
        <v>0</v>
      </c>
      <c r="H85" s="55">
        <f t="shared" si="10"/>
        <v>-1</v>
      </c>
      <c r="L85" s="21"/>
      <c r="M85" s="22"/>
    </row>
    <row r="86" spans="2:23" x14ac:dyDescent="0.25">
      <c r="B86" s="207"/>
      <c r="C86" s="655">
        <f>+C82/I70</f>
        <v>1.2068968758629361</v>
      </c>
      <c r="D86" s="15"/>
      <c r="E86" s="15"/>
      <c r="K86" s="22"/>
      <c r="L86" s="22"/>
      <c r="M86" s="14"/>
      <c r="N86" s="23"/>
      <c r="V86" s="21"/>
      <c r="W86" s="22"/>
    </row>
    <row r="87" spans="2:23" x14ac:dyDescent="0.25">
      <c r="B87" s="28" t="s">
        <v>64</v>
      </c>
      <c r="C87" s="65">
        <f>(C82-'5. Vaccine Clinics and Testing'!D23)-('Bud to Bud Sum by Payer HIDE'!C70-'5. Vaccine Clinics and Testing'!C23)</f>
        <v>5386941.5</v>
      </c>
      <c r="D87" s="15"/>
      <c r="E87" s="15"/>
      <c r="O87" s="21"/>
      <c r="P87" s="22"/>
    </row>
    <row r="88" spans="2:23" x14ac:dyDescent="0.25">
      <c r="B88" s="54" t="s">
        <v>65</v>
      </c>
      <c r="C88" s="55">
        <f>(C87)/(C70-'5. Vaccine Clinics and Testing'!C23)</f>
        <v>0.10953507710853984</v>
      </c>
      <c r="D88" s="15"/>
      <c r="E88" s="15"/>
      <c r="O88" s="21"/>
      <c r="P88" s="22"/>
    </row>
    <row r="89" spans="2:23" x14ac:dyDescent="0.25">
      <c r="B89" s="207"/>
      <c r="C89" s="60"/>
      <c r="D89" s="60"/>
      <c r="E89" s="60"/>
      <c r="F89" s="60"/>
      <c r="G89" s="60"/>
      <c r="H89" s="60"/>
      <c r="O89" s="21"/>
      <c r="P89" s="22"/>
    </row>
    <row r="90" spans="2:23" ht="19.899999999999999" customHeight="1" x14ac:dyDescent="0.3">
      <c r="B90" s="742" t="s">
        <v>66</v>
      </c>
      <c r="C90" s="346"/>
      <c r="D90" s="743"/>
      <c r="E90" s="743"/>
      <c r="V90" s="21"/>
      <c r="W90" s="22"/>
    </row>
    <row r="91" spans="2:23" ht="18.75" x14ac:dyDescent="0.3">
      <c r="B91" s="742"/>
      <c r="C91" s="346"/>
      <c r="D91" s="743"/>
      <c r="E91" s="743"/>
      <c r="V91" s="21"/>
      <c r="W91" s="22"/>
    </row>
    <row r="92" spans="2:23" x14ac:dyDescent="0.25">
      <c r="B92" s="96" t="s">
        <v>37</v>
      </c>
      <c r="C92" s="96" t="s">
        <v>38</v>
      </c>
      <c r="D92" s="96" t="s">
        <v>39</v>
      </c>
      <c r="E92" s="61"/>
      <c r="V92" s="21"/>
      <c r="W92" s="22"/>
    </row>
    <row r="93" spans="2:23" x14ac:dyDescent="0.25">
      <c r="B93" s="5" t="s">
        <v>56</v>
      </c>
      <c r="C93" s="89">
        <v>53595692.297142863</v>
      </c>
      <c r="D93" s="7"/>
      <c r="E93" s="60"/>
      <c r="V93" s="21"/>
      <c r="W93" s="22"/>
    </row>
    <row r="94" spans="2:23" x14ac:dyDescent="0.25">
      <c r="B94" s="8" t="s">
        <v>41</v>
      </c>
      <c r="C94" s="279">
        <v>586575</v>
      </c>
      <c r="D94" s="9">
        <f>+C94/C$37</f>
        <v>1.1352745833566956E-2</v>
      </c>
      <c r="E94" s="62"/>
      <c r="H94" t="s">
        <v>301</v>
      </c>
      <c r="V94" s="21"/>
    </row>
    <row r="95" spans="2:23" x14ac:dyDescent="0.25">
      <c r="B95" s="10" t="s">
        <v>42</v>
      </c>
      <c r="C95" s="279"/>
      <c r="D95" s="9">
        <f t="shared" ref="D95:D107" si="11">+C95/C$37</f>
        <v>0</v>
      </c>
      <c r="E95" s="62"/>
      <c r="V95" s="21"/>
    </row>
    <row r="96" spans="2:23" x14ac:dyDescent="0.25">
      <c r="B96" s="10" t="s">
        <v>43</v>
      </c>
      <c r="C96" s="279">
        <f>1678226-C94</f>
        <v>1091651</v>
      </c>
      <c r="D96" s="9">
        <f t="shared" si="11"/>
        <v>2.1128135945035504E-2</v>
      </c>
      <c r="E96" s="744" t="s">
        <v>519</v>
      </c>
      <c r="V96" s="21"/>
    </row>
    <row r="97" spans="2:22" x14ac:dyDescent="0.25">
      <c r="B97" s="10" t="s">
        <v>44</v>
      </c>
      <c r="C97" s="279">
        <v>512004</v>
      </c>
      <c r="D97" s="9">
        <f t="shared" si="11"/>
        <v>9.909476670109732E-3</v>
      </c>
      <c r="E97" s="62"/>
      <c r="V97" s="21"/>
    </row>
    <row r="98" spans="2:22" x14ac:dyDescent="0.25">
      <c r="B98" s="10" t="s">
        <v>45</v>
      </c>
      <c r="C98" s="279">
        <v>-375974.58857142879</v>
      </c>
      <c r="D98" s="9">
        <f t="shared" si="11"/>
        <v>-7.2767232560735431E-3</v>
      </c>
      <c r="E98" s="62"/>
      <c r="V98" s="21"/>
    </row>
    <row r="99" spans="2:22" x14ac:dyDescent="0.25">
      <c r="B99" s="10" t="s">
        <v>46</v>
      </c>
      <c r="C99" s="279">
        <v>-264000</v>
      </c>
      <c r="D99" s="9">
        <f t="shared" si="11"/>
        <v>-5.109533989791035E-3</v>
      </c>
      <c r="E99" s="62"/>
      <c r="V99" s="21"/>
    </row>
    <row r="100" spans="2:22" x14ac:dyDescent="0.25">
      <c r="B100" s="10" t="s">
        <v>47</v>
      </c>
      <c r="C100" s="279">
        <v>691790</v>
      </c>
      <c r="D100" s="9">
        <f t="shared" si="11"/>
        <v>1.3389108025748258E-2</v>
      </c>
      <c r="E100" s="62"/>
    </row>
    <row r="101" spans="2:22" x14ac:dyDescent="0.25">
      <c r="B101" s="10" t="s">
        <v>48</v>
      </c>
      <c r="C101" s="279">
        <v>56196</v>
      </c>
      <c r="D101" s="9">
        <f t="shared" si="11"/>
        <v>1.087633985190519E-3</v>
      </c>
      <c r="E101" s="62"/>
    </row>
    <row r="102" spans="2:22" x14ac:dyDescent="0.25">
      <c r="B102" s="10" t="s">
        <v>49</v>
      </c>
      <c r="C102" s="279"/>
      <c r="D102" s="9">
        <f t="shared" si="11"/>
        <v>0</v>
      </c>
      <c r="E102" s="62"/>
    </row>
    <row r="103" spans="2:22" x14ac:dyDescent="0.25">
      <c r="B103" s="88" t="s">
        <v>28</v>
      </c>
      <c r="C103" s="279"/>
      <c r="D103" s="9">
        <f t="shared" si="11"/>
        <v>0</v>
      </c>
      <c r="E103" s="62"/>
    </row>
    <row r="104" spans="2:22" x14ac:dyDescent="0.25">
      <c r="B104" s="88" t="s">
        <v>28</v>
      </c>
      <c r="C104" s="279"/>
      <c r="D104" s="9">
        <f t="shared" si="11"/>
        <v>0</v>
      </c>
      <c r="E104" s="62"/>
    </row>
    <row r="105" spans="2:22" x14ac:dyDescent="0.25">
      <c r="B105" s="88" t="s">
        <v>28</v>
      </c>
      <c r="C105" s="279"/>
      <c r="D105" s="9">
        <f t="shared" si="11"/>
        <v>0</v>
      </c>
      <c r="E105" s="62"/>
    </row>
    <row r="106" spans="2:22" x14ac:dyDescent="0.25">
      <c r="B106" s="88" t="s">
        <v>28</v>
      </c>
      <c r="C106" s="279">
        <f>+C109-SUM(C93:C105)</f>
        <v>-850004.70857143402</v>
      </c>
      <c r="D106" s="9">
        <f t="shared" si="11"/>
        <v>-1.6451242234576384E-2</v>
      </c>
      <c r="E106" s="62"/>
    </row>
    <row r="107" spans="2:22" x14ac:dyDescent="0.25">
      <c r="B107" s="88" t="s">
        <v>50</v>
      </c>
      <c r="C107" s="93"/>
      <c r="D107" s="9">
        <f t="shared" si="11"/>
        <v>0</v>
      </c>
      <c r="E107" s="62"/>
    </row>
    <row r="108" spans="2:22" x14ac:dyDescent="0.25">
      <c r="B108" s="11" t="s">
        <v>29</v>
      </c>
      <c r="C108" s="12">
        <f>SUM(C93:C107)</f>
        <v>55043929</v>
      </c>
      <c r="D108" s="13">
        <f>SUM(D94:D107)</f>
        <v>2.8029600979210013E-2</v>
      </c>
      <c r="E108" s="62"/>
    </row>
    <row r="109" spans="2:22" x14ac:dyDescent="0.25">
      <c r="C109" s="14">
        <f>+C52</f>
        <v>55043929</v>
      </c>
      <c r="E109" s="57"/>
    </row>
    <row r="110" spans="2:22" x14ac:dyDescent="0.25">
      <c r="B110" s="28" t="s">
        <v>62</v>
      </c>
      <c r="C110" s="65">
        <f>+C108-C93</f>
        <v>1448236.7028571367</v>
      </c>
      <c r="E110" s="57"/>
    </row>
    <row r="111" spans="2:22" x14ac:dyDescent="0.25">
      <c r="B111" s="54" t="s">
        <v>63</v>
      </c>
      <c r="C111" s="55">
        <f>(C110)/C93</f>
        <v>2.7021513125119963E-2</v>
      </c>
      <c r="E111" s="57"/>
    </row>
    <row r="112" spans="2:22" x14ac:dyDescent="0.25">
      <c r="B112" s="207"/>
      <c r="C112" s="60"/>
      <c r="D112" s="60"/>
      <c r="E112" s="60"/>
      <c r="F112" s="60"/>
      <c r="G112" s="60"/>
      <c r="H112" s="60"/>
      <c r="O112" s="21"/>
      <c r="P112" s="22"/>
    </row>
    <row r="113" spans="2:23" x14ac:dyDescent="0.25">
      <c r="B113" s="28" t="s">
        <v>64</v>
      </c>
      <c r="C113" s="65">
        <f>(C108-'5. Vaccine Clinics and Testing'!D36)-('Bud to Bud Sum by Payer HIDE'!C93-'5. Vaccine Clinics and Testing'!C36)</f>
        <v>1863486.7028571367</v>
      </c>
      <c r="D113" s="60"/>
      <c r="E113" s="60"/>
      <c r="F113" s="60"/>
      <c r="G113" s="60"/>
      <c r="H113" s="60"/>
      <c r="O113" s="21"/>
      <c r="P113" s="22"/>
    </row>
    <row r="114" spans="2:23" x14ac:dyDescent="0.25">
      <c r="B114" s="54" t="s">
        <v>65</v>
      </c>
      <c r="C114" s="55">
        <f>(C113)/(C93-'5. Vaccine Clinics and Testing'!C36)</f>
        <v>3.54144137889945E-2</v>
      </c>
      <c r="D114" s="15"/>
      <c r="E114" s="15"/>
      <c r="K114" s="22"/>
      <c r="L114" s="22"/>
      <c r="M114" s="14"/>
      <c r="N114" s="23"/>
      <c r="V114" s="21"/>
      <c r="W114" s="22"/>
    </row>
  </sheetData>
  <mergeCells count="7">
    <mergeCell ref="A71:A74"/>
    <mergeCell ref="B2:O2"/>
    <mergeCell ref="B3:O3"/>
    <mergeCell ref="B4:O4"/>
    <mergeCell ref="B6:O6"/>
    <mergeCell ref="A12:A19"/>
    <mergeCell ref="B64:O64"/>
  </mergeCells>
  <pageMargins left="0.7" right="0.7" top="0.5" bottom="0.5" header="0.3" footer="0.3"/>
  <pageSetup scale="48" fitToHeight="4" orientation="landscape" r:id="rId1"/>
  <headerFooter>
    <oddFooter>&amp;L&amp;D&amp;R&amp;F,&amp;A</oddFooter>
  </headerFooter>
  <rowBreaks count="1" manualBreakCount="1">
    <brk id="63" min="1" max="12"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45F2E-043F-47D6-8A06-10B11F8D6C1A}">
  <sheetPr>
    <tabColor rgb="FF0070C0"/>
  </sheetPr>
  <dimension ref="A1:U89"/>
  <sheetViews>
    <sheetView topLeftCell="B1" zoomScale="80" zoomScaleNormal="80" workbookViewId="0">
      <pane xSplit="2" ySplit="5" topLeftCell="D6" activePane="bottomRight" state="frozen"/>
      <selection activeCell="H32" sqref="H32"/>
      <selection pane="topRight" activeCell="H32" sqref="H32"/>
      <selection pane="bottomLeft" activeCell="H32" sqref="H32"/>
      <selection pane="bottomRight" activeCell="H32" sqref="H32"/>
    </sheetView>
  </sheetViews>
  <sheetFormatPr defaultColWidth="9.140625" defaultRowHeight="18.75" x14ac:dyDescent="0.3"/>
  <cols>
    <col min="1" max="1" width="9.140625" style="4"/>
    <col min="2" max="2" width="55.7109375" style="4" bestFit="1" customWidth="1"/>
    <col min="3" max="3" width="28.5703125" style="4" customWidth="1"/>
    <col min="4" max="4" width="17.7109375" style="4" bestFit="1" customWidth="1"/>
    <col min="5" max="5" width="18.140625" style="4" bestFit="1" customWidth="1"/>
    <col min="6" max="6" width="18.5703125" style="4" customWidth="1"/>
    <col min="7" max="7" width="17.7109375" style="4" bestFit="1" customWidth="1"/>
    <col min="8" max="8" width="19.28515625" style="4" customWidth="1"/>
    <col min="9" max="9" width="18.85546875" style="4" customWidth="1"/>
    <col min="10" max="10" width="18.5703125" style="4" bestFit="1" customWidth="1"/>
    <col min="11" max="11" width="17.7109375" style="4" bestFit="1" customWidth="1"/>
    <col min="12" max="12" width="14.7109375" style="347" bestFit="1" customWidth="1"/>
    <col min="13" max="13" width="15.28515625" style="4" customWidth="1"/>
    <col min="14" max="14" width="16.85546875" style="4" bestFit="1" customWidth="1"/>
    <col min="15" max="15" width="16" style="4" customWidth="1"/>
    <col min="16" max="17" width="16" style="4" bestFit="1" customWidth="1"/>
    <col min="18" max="18" width="17.5703125" style="4" bestFit="1" customWidth="1"/>
    <col min="19" max="19" width="19.28515625" style="4" customWidth="1"/>
    <col min="20" max="20" width="18.85546875" style="4" customWidth="1"/>
    <col min="21" max="21" width="14.5703125" style="4" bestFit="1" customWidth="1"/>
    <col min="22" max="16384" width="9.140625" style="4"/>
  </cols>
  <sheetData>
    <row r="1" spans="1:18" x14ac:dyDescent="0.3">
      <c r="B1" s="94" t="s">
        <v>306</v>
      </c>
    </row>
    <row r="2" spans="1:18" x14ac:dyDescent="0.3">
      <c r="B2" s="94" t="s">
        <v>307</v>
      </c>
    </row>
    <row r="3" spans="1:18" x14ac:dyDescent="0.3">
      <c r="B3" s="94" t="s">
        <v>308</v>
      </c>
    </row>
    <row r="4" spans="1:18" ht="19.5" thickBot="1" x14ac:dyDescent="0.35"/>
    <row r="5" spans="1:18" ht="19.5" thickTop="1" x14ac:dyDescent="0.3">
      <c r="A5" s="348"/>
      <c r="B5" s="349"/>
      <c r="C5" s="349" t="s">
        <v>309</v>
      </c>
      <c r="D5" s="350" t="s">
        <v>189</v>
      </c>
      <c r="E5" s="350" t="s">
        <v>168</v>
      </c>
      <c r="F5" s="350" t="s">
        <v>167</v>
      </c>
      <c r="G5" s="350" t="s">
        <v>310</v>
      </c>
      <c r="H5" s="351" t="s">
        <v>200</v>
      </c>
      <c r="I5" s="351" t="s">
        <v>311</v>
      </c>
      <c r="J5" s="351" t="s">
        <v>312</v>
      </c>
      <c r="K5" s="349"/>
      <c r="L5" s="352"/>
    </row>
    <row r="6" spans="1:18" x14ac:dyDescent="0.3">
      <c r="A6" s="353"/>
      <c r="B6" s="354"/>
      <c r="C6" s="354"/>
      <c r="D6" s="354"/>
      <c r="E6" s="354"/>
      <c r="F6" s="354"/>
      <c r="G6" s="354"/>
      <c r="H6" s="354"/>
      <c r="I6" s="354"/>
      <c r="J6" s="354"/>
      <c r="K6" s="354"/>
      <c r="L6" s="355"/>
    </row>
    <row r="7" spans="1:18" x14ac:dyDescent="0.3">
      <c r="A7" s="353"/>
      <c r="B7" s="356" t="s">
        <v>313</v>
      </c>
      <c r="C7" s="356" t="s">
        <v>314</v>
      </c>
      <c r="D7" s="357">
        <f>SUM(E7:J7)</f>
        <v>1</v>
      </c>
      <c r="E7" s="358">
        <f>1-SUM(F7:J7)</f>
        <v>0.49265278917658273</v>
      </c>
      <c r="F7" s="358">
        <v>8.5388878087421516E-2</v>
      </c>
      <c r="G7" s="358">
        <v>0.1</v>
      </c>
      <c r="H7" s="358">
        <v>0.27837252597937689</v>
      </c>
      <c r="I7" s="358">
        <v>1.3585806756618793E-2</v>
      </c>
      <c r="J7" s="358">
        <v>0.03</v>
      </c>
      <c r="K7" s="354"/>
      <c r="L7" s="359">
        <f>SUM(E7:J7)</f>
        <v>1</v>
      </c>
    </row>
    <row r="8" spans="1:18" x14ac:dyDescent="0.3">
      <c r="A8" s="353"/>
      <c r="B8" s="356"/>
      <c r="C8" s="356" t="s">
        <v>315</v>
      </c>
      <c r="D8" s="357">
        <f>SUM(E8:J8)</f>
        <v>1</v>
      </c>
      <c r="E8" s="358">
        <f>1-SUM(F8:J8)</f>
        <v>0.35605966797137523</v>
      </c>
      <c r="F8" s="358">
        <v>0.2</v>
      </c>
      <c r="G8" s="358">
        <v>0.14000000000000001</v>
      </c>
      <c r="H8" s="358">
        <v>0.26035452527200592</v>
      </c>
      <c r="I8" s="358">
        <f>+I7</f>
        <v>1.3585806756618793E-2</v>
      </c>
      <c r="J8" s="358">
        <v>0.03</v>
      </c>
      <c r="K8" s="354"/>
      <c r="L8" s="359">
        <f>SUM(E8:J8)</f>
        <v>1</v>
      </c>
    </row>
    <row r="9" spans="1:18" x14ac:dyDescent="0.3">
      <c r="A9" s="353"/>
      <c r="B9" s="356"/>
      <c r="C9" s="356" t="s">
        <v>189</v>
      </c>
      <c r="D9" s="360">
        <f>SUM(E9:J9)</f>
        <v>0.99999998389856726</v>
      </c>
      <c r="E9" s="360">
        <f t="shared" ref="E9:J9" si="0">+E13/$D13</f>
        <v>0.38318846363644476</v>
      </c>
      <c r="F9" s="360">
        <f t="shared" si="0"/>
        <v>0.17723704721709033</v>
      </c>
      <c r="G9" s="360">
        <f t="shared" si="0"/>
        <v>0.13205558911112583</v>
      </c>
      <c r="H9" s="360">
        <f t="shared" si="0"/>
        <v>0.2639330820285638</v>
      </c>
      <c r="I9" s="360">
        <f t="shared" si="0"/>
        <v>1.3585805462221528E-2</v>
      </c>
      <c r="J9" s="360">
        <f t="shared" si="0"/>
        <v>2.9999996443121041E-2</v>
      </c>
      <c r="K9" s="354"/>
      <c r="L9" s="359">
        <f>SUM(E9:J9)</f>
        <v>0.99999998389856726</v>
      </c>
    </row>
    <row r="10" spans="1:18" x14ac:dyDescent="0.3">
      <c r="A10" s="353"/>
      <c r="B10" s="356"/>
      <c r="C10" s="354"/>
      <c r="D10" s="360"/>
      <c r="E10" s="360"/>
      <c r="F10" s="360"/>
      <c r="G10" s="360"/>
      <c r="H10" s="360"/>
      <c r="I10" s="360"/>
      <c r="J10" s="360"/>
      <c r="K10" s="354"/>
      <c r="L10" s="355"/>
    </row>
    <row r="11" spans="1:18" x14ac:dyDescent="0.3">
      <c r="A11" s="353"/>
      <c r="B11" s="356" t="s">
        <v>316</v>
      </c>
      <c r="C11" s="356" t="s">
        <v>314</v>
      </c>
      <c r="D11" s="361">
        <v>21322346.077587329</v>
      </c>
      <c r="E11" s="361">
        <f t="shared" ref="E11:J12" si="1">ROUND($D11*E7,0)</f>
        <v>10504513</v>
      </c>
      <c r="F11" s="361">
        <f t="shared" si="1"/>
        <v>1820691</v>
      </c>
      <c r="G11" s="361">
        <f t="shared" si="1"/>
        <v>2132235</v>
      </c>
      <c r="H11" s="361">
        <f t="shared" si="1"/>
        <v>5935555</v>
      </c>
      <c r="I11" s="361">
        <f t="shared" si="1"/>
        <v>289681</v>
      </c>
      <c r="J11" s="361">
        <f t="shared" si="1"/>
        <v>639670</v>
      </c>
      <c r="K11" s="354"/>
      <c r="L11" s="362">
        <f>SUM(E11:J11)</f>
        <v>21322345</v>
      </c>
    </row>
    <row r="12" spans="1:18" x14ac:dyDescent="0.3">
      <c r="A12" s="353"/>
      <c r="B12" s="356"/>
      <c r="C12" s="356" t="s">
        <v>315</v>
      </c>
      <c r="D12" s="361">
        <v>86035366.651025653</v>
      </c>
      <c r="E12" s="361">
        <f t="shared" si="1"/>
        <v>30633724</v>
      </c>
      <c r="F12" s="361">
        <f t="shared" si="1"/>
        <v>17207073</v>
      </c>
      <c r="G12" s="361">
        <f t="shared" si="1"/>
        <v>12044951</v>
      </c>
      <c r="H12" s="361">
        <f t="shared" si="1"/>
        <v>22399697</v>
      </c>
      <c r="I12" s="361">
        <f t="shared" si="1"/>
        <v>1168860</v>
      </c>
      <c r="J12" s="361">
        <f t="shared" si="1"/>
        <v>2581061</v>
      </c>
      <c r="K12" s="354"/>
      <c r="L12" s="362">
        <f t="shared" ref="L12:L13" si="2">SUM(E12:J12)</f>
        <v>86035366</v>
      </c>
    </row>
    <row r="13" spans="1:18" x14ac:dyDescent="0.3">
      <c r="A13" s="353"/>
      <c r="B13" s="356"/>
      <c r="C13" s="356" t="s">
        <v>189</v>
      </c>
      <c r="D13" s="361">
        <f>+D11+D12</f>
        <v>107357712.72861299</v>
      </c>
      <c r="E13" s="363">
        <f>+E11+E12</f>
        <v>41138237</v>
      </c>
      <c r="F13" s="363">
        <f t="shared" ref="F13:J13" si="3">+F11+F12</f>
        <v>19027764</v>
      </c>
      <c r="G13" s="363">
        <f t="shared" si="3"/>
        <v>14177186</v>
      </c>
      <c r="H13" s="363">
        <f t="shared" si="3"/>
        <v>28335252</v>
      </c>
      <c r="I13" s="363">
        <f t="shared" si="3"/>
        <v>1458541</v>
      </c>
      <c r="J13" s="363">
        <f t="shared" si="3"/>
        <v>3220731</v>
      </c>
      <c r="K13" s="354"/>
      <c r="L13" s="362">
        <f t="shared" si="2"/>
        <v>107357711</v>
      </c>
    </row>
    <row r="14" spans="1:18" x14ac:dyDescent="0.3">
      <c r="A14" s="353"/>
      <c r="B14" s="356"/>
      <c r="C14" s="354"/>
      <c r="D14" s="363"/>
      <c r="E14" s="354"/>
      <c r="F14" s="354"/>
      <c r="G14" s="354"/>
      <c r="H14" s="354"/>
      <c r="I14" s="354"/>
      <c r="J14" s="354"/>
      <c r="K14" s="354"/>
      <c r="L14" s="355"/>
    </row>
    <row r="15" spans="1:18" x14ac:dyDescent="0.3">
      <c r="A15" s="353"/>
      <c r="B15" s="356" t="s">
        <v>317</v>
      </c>
      <c r="C15" s="356" t="s">
        <v>314</v>
      </c>
      <c r="D15" s="364"/>
      <c r="E15" s="364"/>
      <c r="F15" s="364"/>
      <c r="G15" s="364"/>
      <c r="H15" s="364"/>
      <c r="I15" s="364"/>
      <c r="J15" s="364"/>
      <c r="K15" s="354"/>
      <c r="L15" s="355"/>
      <c r="M15" s="365" t="s">
        <v>318</v>
      </c>
      <c r="N15" s="365"/>
      <c r="O15" s="365"/>
      <c r="P15" s="233"/>
      <c r="Q15" s="233"/>
      <c r="R15" s="366">
        <v>0.08</v>
      </c>
    </row>
    <row r="16" spans="1:18" x14ac:dyDescent="0.3">
      <c r="A16" s="353"/>
      <c r="B16" s="354"/>
      <c r="C16" s="356" t="s">
        <v>315</v>
      </c>
      <c r="D16" s="364"/>
      <c r="E16" s="364"/>
      <c r="F16" s="364"/>
      <c r="G16" s="364"/>
      <c r="H16" s="364"/>
      <c r="I16" s="364"/>
      <c r="J16" s="364"/>
      <c r="K16" s="354"/>
      <c r="L16" s="355"/>
      <c r="M16" s="365" t="s">
        <v>318</v>
      </c>
      <c r="N16" s="365"/>
      <c r="O16" s="365"/>
      <c r="P16" s="233"/>
      <c r="Q16" s="233"/>
      <c r="R16" s="366">
        <v>0.08</v>
      </c>
    </row>
    <row r="17" spans="1:18" x14ac:dyDescent="0.3">
      <c r="A17" s="353"/>
      <c r="B17" s="354"/>
      <c r="C17" s="356" t="s">
        <v>319</v>
      </c>
      <c r="D17" s="354"/>
      <c r="E17" s="354"/>
      <c r="F17" s="354"/>
      <c r="G17" s="354"/>
      <c r="H17" s="354"/>
      <c r="I17" s="354"/>
      <c r="J17" s="354"/>
      <c r="K17" s="354"/>
      <c r="L17" s="355"/>
    </row>
    <row r="18" spans="1:18" x14ac:dyDescent="0.3">
      <c r="A18" s="353"/>
      <c r="B18" s="356" t="s">
        <v>320</v>
      </c>
      <c r="C18" s="356" t="s">
        <v>314</v>
      </c>
      <c r="D18" s="363">
        <f>SUM(E18:J18)</f>
        <v>8425119</v>
      </c>
      <c r="E18" s="361">
        <v>3198782</v>
      </c>
      <c r="F18" s="361">
        <v>2248279</v>
      </c>
      <c r="G18" s="367">
        <v>626744</v>
      </c>
      <c r="H18" s="361">
        <v>1994963</v>
      </c>
      <c r="I18" s="361">
        <v>356351</v>
      </c>
      <c r="J18" s="361">
        <v>0</v>
      </c>
      <c r="K18" s="354"/>
      <c r="L18" s="362">
        <f t="shared" ref="L18:L27" si="4">SUM(E18:J18)</f>
        <v>8425119</v>
      </c>
    </row>
    <row r="19" spans="1:18" x14ac:dyDescent="0.3">
      <c r="A19" s="353"/>
      <c r="B19" s="354"/>
      <c r="C19" s="356" t="s">
        <v>315</v>
      </c>
      <c r="D19" s="363">
        <f>SUM(E19:J19)</f>
        <v>46715333</v>
      </c>
      <c r="E19" s="361">
        <v>19738556</v>
      </c>
      <c r="F19" s="361">
        <v>12347326</v>
      </c>
      <c r="G19" s="367">
        <v>3618745</v>
      </c>
      <c r="H19" s="361">
        <v>10354210</v>
      </c>
      <c r="I19" s="361">
        <v>656496</v>
      </c>
      <c r="J19" s="354">
        <v>0</v>
      </c>
      <c r="K19" s="354"/>
      <c r="L19" s="362">
        <f t="shared" si="4"/>
        <v>46715333</v>
      </c>
      <c r="N19" s="368">
        <f>+L18+L19</f>
        <v>55140452</v>
      </c>
      <c r="O19" s="368">
        <f>+D18+D19</f>
        <v>55140452</v>
      </c>
      <c r="P19" s="368">
        <f>+O19+O26</f>
        <v>56360501</v>
      </c>
      <c r="Q19" s="368">
        <v>56356251</v>
      </c>
      <c r="R19" s="368">
        <f>+P19-Q19</f>
        <v>4250</v>
      </c>
    </row>
    <row r="20" spans="1:18" x14ac:dyDescent="0.3">
      <c r="A20" s="353"/>
      <c r="B20" s="354"/>
      <c r="C20" s="356" t="s">
        <v>321</v>
      </c>
      <c r="D20" s="369">
        <f t="shared" ref="D20:D21" si="5">SUM(E20:J20)</f>
        <v>507481</v>
      </c>
      <c r="E20" s="367"/>
      <c r="F20" s="367"/>
      <c r="G20" s="367"/>
      <c r="H20" s="367"/>
      <c r="I20" s="367"/>
      <c r="J20" s="361">
        <f>ROUND(+$D$11/$D$13*$N$20,0)</f>
        <v>507481</v>
      </c>
      <c r="K20" s="354"/>
      <c r="L20" s="362">
        <f>SUM(E20:J20)</f>
        <v>507481</v>
      </c>
      <c r="N20" s="361">
        <v>2555159</v>
      </c>
    </row>
    <row r="21" spans="1:18" x14ac:dyDescent="0.3">
      <c r="A21" s="353"/>
      <c r="B21" s="354"/>
      <c r="C21" s="356" t="s">
        <v>322</v>
      </c>
      <c r="D21" s="369">
        <f t="shared" si="5"/>
        <v>2047678</v>
      </c>
      <c r="E21" s="367"/>
      <c r="F21" s="367"/>
      <c r="G21" s="367"/>
      <c r="H21" s="367"/>
      <c r="I21" s="367"/>
      <c r="J21" s="370">
        <f>ROUND(+$D$12/$D$13*$N$20,0)</f>
        <v>2047678</v>
      </c>
      <c r="K21" s="354"/>
      <c r="L21" s="362">
        <f>SUM(E21:J21)</f>
        <v>2047678</v>
      </c>
      <c r="N21" s="368"/>
      <c r="O21" s="368">
        <f>+J20+J21</f>
        <v>2555159</v>
      </c>
    </row>
    <row r="22" spans="1:18" x14ac:dyDescent="0.3">
      <c r="A22" s="353"/>
      <c r="B22" s="354"/>
      <c r="C22" s="356" t="s">
        <v>323</v>
      </c>
      <c r="D22" s="369">
        <v>77427</v>
      </c>
      <c r="E22" s="367"/>
      <c r="F22" s="367"/>
      <c r="G22" s="367"/>
      <c r="H22" s="367"/>
      <c r="I22" s="367"/>
      <c r="J22" s="367">
        <f>+D22</f>
        <v>77427</v>
      </c>
      <c r="K22" s="354"/>
      <c r="L22" s="362">
        <f t="shared" si="4"/>
        <v>77427</v>
      </c>
      <c r="N22" s="370">
        <v>77427</v>
      </c>
    </row>
    <row r="23" spans="1:18" x14ac:dyDescent="0.3">
      <c r="A23" s="353"/>
      <c r="B23" s="354"/>
      <c r="C23" s="356" t="s">
        <v>324</v>
      </c>
      <c r="D23" s="369">
        <v>723750</v>
      </c>
      <c r="E23" s="367"/>
      <c r="F23" s="367"/>
      <c r="G23" s="367"/>
      <c r="H23" s="367"/>
      <c r="I23" s="367"/>
      <c r="J23" s="367">
        <f>+D23</f>
        <v>723750</v>
      </c>
      <c r="K23" s="354"/>
      <c r="L23" s="362">
        <f t="shared" si="4"/>
        <v>723750</v>
      </c>
      <c r="N23" s="370">
        <v>723751</v>
      </c>
      <c r="O23" s="368">
        <f>+N22+N23</f>
        <v>801178</v>
      </c>
    </row>
    <row r="24" spans="1:18" x14ac:dyDescent="0.3">
      <c r="A24" s="353"/>
      <c r="B24" s="354"/>
      <c r="C24" s="356" t="s">
        <v>325</v>
      </c>
      <c r="D24" s="367">
        <v>-823884</v>
      </c>
      <c r="E24" s="367"/>
      <c r="F24" s="367">
        <f>+N24</f>
        <v>-823884</v>
      </c>
      <c r="G24" s="367"/>
      <c r="H24" s="367"/>
      <c r="I24" s="367"/>
      <c r="J24" s="367"/>
      <c r="K24" s="354"/>
      <c r="L24" s="362">
        <f t="shared" si="4"/>
        <v>-823884</v>
      </c>
      <c r="N24" s="370">
        <v>-823884</v>
      </c>
    </row>
    <row r="25" spans="1:18" x14ac:dyDescent="0.3">
      <c r="A25" s="353"/>
      <c r="B25" s="354"/>
      <c r="C25" s="356" t="s">
        <v>326</v>
      </c>
      <c r="D25" s="369">
        <v>306961</v>
      </c>
      <c r="E25" s="367">
        <f>ROUND(E11/$D$11*$D25,0)</f>
        <v>151225</v>
      </c>
      <c r="F25" s="367">
        <f t="shared" ref="F25:J25" si="6">ROUND(F11/$D$11*$D25,0)</f>
        <v>26211</v>
      </c>
      <c r="G25" s="367">
        <f t="shared" si="6"/>
        <v>30696</v>
      </c>
      <c r="H25" s="367">
        <f t="shared" si="6"/>
        <v>85450</v>
      </c>
      <c r="I25" s="367">
        <f t="shared" si="6"/>
        <v>4170</v>
      </c>
      <c r="J25" s="367">
        <f t="shared" si="6"/>
        <v>9209</v>
      </c>
      <c r="K25" s="354"/>
      <c r="L25" s="362">
        <f t="shared" si="4"/>
        <v>306961</v>
      </c>
      <c r="N25" s="370">
        <v>306961</v>
      </c>
    </row>
    <row r="26" spans="1:18" x14ac:dyDescent="0.3">
      <c r="A26" s="353"/>
      <c r="B26" s="354"/>
      <c r="C26" s="356" t="s">
        <v>327</v>
      </c>
      <c r="D26" s="369">
        <v>913088</v>
      </c>
      <c r="E26" s="367">
        <f>ROUND(E12/$D$12*$D26,0)</f>
        <v>325114</v>
      </c>
      <c r="F26" s="367">
        <f t="shared" ref="F26:J26" si="7">ROUND(F12/$D$12*$D26,0)</f>
        <v>182618</v>
      </c>
      <c r="G26" s="367">
        <f t="shared" si="7"/>
        <v>127832</v>
      </c>
      <c r="H26" s="367">
        <f t="shared" si="7"/>
        <v>237727</v>
      </c>
      <c r="I26" s="367">
        <f t="shared" si="7"/>
        <v>12405</v>
      </c>
      <c r="J26" s="367">
        <f t="shared" si="7"/>
        <v>27393</v>
      </c>
      <c r="K26" s="354"/>
      <c r="L26" s="362">
        <f t="shared" si="4"/>
        <v>913089</v>
      </c>
      <c r="N26" s="370">
        <v>913088</v>
      </c>
      <c r="O26" s="368">
        <f>+N25+N26</f>
        <v>1220049</v>
      </c>
    </row>
    <row r="27" spans="1:18" x14ac:dyDescent="0.3">
      <c r="A27" s="353"/>
      <c r="B27" s="354"/>
      <c r="C27" s="356" t="s">
        <v>189</v>
      </c>
      <c r="D27" s="363">
        <f>SUM(D18:D26)</f>
        <v>58892953</v>
      </c>
      <c r="E27" s="363">
        <f t="shared" ref="E27:J27" si="8">SUM(E18:E26)</f>
        <v>23413677</v>
      </c>
      <c r="F27" s="363">
        <f t="shared" si="8"/>
        <v>13980550</v>
      </c>
      <c r="G27" s="363">
        <f t="shared" si="8"/>
        <v>4404017</v>
      </c>
      <c r="H27" s="363">
        <f t="shared" si="8"/>
        <v>12672350</v>
      </c>
      <c r="I27" s="363">
        <f t="shared" si="8"/>
        <v>1029422</v>
      </c>
      <c r="J27" s="363">
        <f t="shared" si="8"/>
        <v>3392938</v>
      </c>
      <c r="K27" s="354"/>
      <c r="L27" s="362">
        <f t="shared" si="4"/>
        <v>58892954</v>
      </c>
      <c r="N27" s="368">
        <f>SUM(N19:N26)</f>
        <v>58892954</v>
      </c>
    </row>
    <row r="28" spans="1:18" x14ac:dyDescent="0.3">
      <c r="A28" s="353"/>
      <c r="B28" s="354"/>
      <c r="C28" s="354"/>
      <c r="D28" s="354"/>
      <c r="E28" s="354"/>
      <c r="F28" s="354"/>
      <c r="G28" s="363"/>
      <c r="H28" s="363"/>
      <c r="I28" s="363"/>
      <c r="J28" s="363"/>
      <c r="K28" s="354"/>
      <c r="L28" s="355"/>
      <c r="N28" s="368">
        <f>+N27-L27</f>
        <v>0</v>
      </c>
    </row>
    <row r="29" spans="1:18" x14ac:dyDescent="0.3">
      <c r="A29" s="353"/>
      <c r="B29" s="356" t="s">
        <v>328</v>
      </c>
      <c r="C29" s="356" t="s">
        <v>314</v>
      </c>
      <c r="D29" s="363">
        <f>+D11-D18-D20-D22-D24-D25</f>
        <v>12829242.077587329</v>
      </c>
      <c r="E29" s="363">
        <f t="shared" ref="E29:J29" si="9">+E11-E18-E20-E22-E24-E25</f>
        <v>7154506</v>
      </c>
      <c r="F29" s="363">
        <f t="shared" si="9"/>
        <v>370085</v>
      </c>
      <c r="G29" s="363">
        <f t="shared" si="9"/>
        <v>1474795</v>
      </c>
      <c r="H29" s="363">
        <f t="shared" si="9"/>
        <v>3855142</v>
      </c>
      <c r="I29" s="363">
        <f t="shared" si="9"/>
        <v>-70840</v>
      </c>
      <c r="J29" s="363">
        <f t="shared" si="9"/>
        <v>45553</v>
      </c>
      <c r="K29" s="354"/>
      <c r="L29" s="362">
        <f t="shared" ref="L29:L31" si="10">SUM(E29:J29)</f>
        <v>12829241</v>
      </c>
    </row>
    <row r="30" spans="1:18" x14ac:dyDescent="0.3">
      <c r="A30" s="353"/>
      <c r="B30" s="354"/>
      <c r="C30" s="356" t="s">
        <v>315</v>
      </c>
      <c r="D30" s="363">
        <f>+D12-D19-D21-D23-D26</f>
        <v>35635517.651025653</v>
      </c>
      <c r="E30" s="363">
        <f t="shared" ref="E30:J30" si="11">+E12-E19-E21-E23-E26</f>
        <v>10570054</v>
      </c>
      <c r="F30" s="363">
        <f t="shared" si="11"/>
        <v>4677129</v>
      </c>
      <c r="G30" s="363">
        <f t="shared" si="11"/>
        <v>8298374</v>
      </c>
      <c r="H30" s="363">
        <f t="shared" si="11"/>
        <v>11807760</v>
      </c>
      <c r="I30" s="363">
        <f t="shared" si="11"/>
        <v>499959</v>
      </c>
      <c r="J30" s="363">
        <f t="shared" si="11"/>
        <v>-217760</v>
      </c>
      <c r="K30" s="354"/>
      <c r="L30" s="362">
        <f t="shared" si="10"/>
        <v>35635516</v>
      </c>
    </row>
    <row r="31" spans="1:18" x14ac:dyDescent="0.3">
      <c r="A31" s="353"/>
      <c r="B31" s="354"/>
      <c r="C31" s="356" t="s">
        <v>189</v>
      </c>
      <c r="D31" s="363">
        <f>+D29+D30</f>
        <v>48464759.728612982</v>
      </c>
      <c r="E31" s="363">
        <f t="shared" ref="E31:J31" si="12">+E29+E30</f>
        <v>17724560</v>
      </c>
      <c r="F31" s="363">
        <f t="shared" si="12"/>
        <v>5047214</v>
      </c>
      <c r="G31" s="363">
        <f t="shared" si="12"/>
        <v>9773169</v>
      </c>
      <c r="H31" s="363">
        <f t="shared" si="12"/>
        <v>15662902</v>
      </c>
      <c r="I31" s="363">
        <f t="shared" si="12"/>
        <v>429119</v>
      </c>
      <c r="J31" s="363">
        <f t="shared" si="12"/>
        <v>-172207</v>
      </c>
      <c r="K31" s="354"/>
      <c r="L31" s="362">
        <f t="shared" si="10"/>
        <v>48464757</v>
      </c>
    </row>
    <row r="32" spans="1:18" ht="19.5" thickBot="1" x14ac:dyDescent="0.35">
      <c r="A32" s="371"/>
      <c r="B32" s="372"/>
      <c r="C32" s="373"/>
      <c r="D32" s="373"/>
      <c r="E32" s="373"/>
      <c r="F32" s="373"/>
      <c r="G32" s="373"/>
      <c r="H32" s="373"/>
      <c r="I32" s="373"/>
      <c r="J32" s="373"/>
      <c r="K32" s="373"/>
      <c r="L32" s="374"/>
    </row>
    <row r="33" spans="1:21" ht="20.25" thickTop="1" thickBot="1" x14ac:dyDescent="0.35"/>
    <row r="34" spans="1:21" ht="19.5" thickTop="1" x14ac:dyDescent="0.3">
      <c r="A34" s="348"/>
      <c r="B34" s="375" t="s">
        <v>329</v>
      </c>
      <c r="C34" s="376"/>
      <c r="D34" s="376">
        <v>0.11</v>
      </c>
      <c r="E34" s="349"/>
      <c r="F34" s="349"/>
      <c r="G34" s="349"/>
      <c r="H34" s="349"/>
      <c r="I34" s="349"/>
      <c r="J34" s="349"/>
      <c r="K34" s="349"/>
      <c r="L34" s="352"/>
      <c r="N34" s="377" t="s">
        <v>330</v>
      </c>
      <c r="O34" s="349"/>
      <c r="P34" s="349"/>
      <c r="Q34" s="349"/>
      <c r="R34" s="349"/>
      <c r="S34" s="349"/>
      <c r="T34" s="349"/>
      <c r="U34" s="378"/>
    </row>
    <row r="35" spans="1:21" x14ac:dyDescent="0.3">
      <c r="A35" s="353"/>
      <c r="B35" s="644"/>
      <c r="C35" s="644"/>
      <c r="D35" s="380" t="s">
        <v>189</v>
      </c>
      <c r="E35" s="380" t="s">
        <v>168</v>
      </c>
      <c r="F35" s="380" t="s">
        <v>167</v>
      </c>
      <c r="G35" s="380" t="s">
        <v>310</v>
      </c>
      <c r="H35" s="380" t="s">
        <v>200</v>
      </c>
      <c r="I35" s="380" t="s">
        <v>311</v>
      </c>
      <c r="J35" s="380" t="s">
        <v>312</v>
      </c>
      <c r="K35" s="644"/>
      <c r="L35" s="384"/>
      <c r="M35" s="346"/>
      <c r="N35" s="353"/>
      <c r="O35" s="379" t="s">
        <v>189</v>
      </c>
      <c r="P35" s="379" t="s">
        <v>168</v>
      </c>
      <c r="Q35" s="379" t="s">
        <v>167</v>
      </c>
      <c r="R35" s="379" t="s">
        <v>310</v>
      </c>
      <c r="S35" s="380" t="s">
        <v>200</v>
      </c>
      <c r="T35" s="380" t="s">
        <v>311</v>
      </c>
      <c r="U35" s="381" t="s">
        <v>312</v>
      </c>
    </row>
    <row r="36" spans="1:21" x14ac:dyDescent="0.3">
      <c r="A36" s="353"/>
      <c r="B36" s="644"/>
      <c r="C36" s="346"/>
      <c r="D36" s="382"/>
      <c r="E36" s="382"/>
      <c r="F36" s="382"/>
      <c r="G36" s="382"/>
      <c r="H36" s="382"/>
      <c r="I36" s="382"/>
      <c r="J36" s="383"/>
      <c r="K36" s="383"/>
      <c r="L36" s="384"/>
      <c r="M36" s="346"/>
      <c r="N36" s="353"/>
      <c r="O36" s="354"/>
      <c r="P36" s="354"/>
      <c r="Q36" s="354"/>
      <c r="R36" s="354"/>
      <c r="S36" s="354"/>
      <c r="T36" s="354"/>
      <c r="U36" s="385"/>
    </row>
    <row r="37" spans="1:21" x14ac:dyDescent="0.3">
      <c r="A37" s="386"/>
      <c r="B37" s="645" t="s">
        <v>412</v>
      </c>
      <c r="C37" s="646" t="s">
        <v>314</v>
      </c>
      <c r="D37" s="367">
        <f>SUM(E37:J37)</f>
        <v>2345458</v>
      </c>
      <c r="E37" s="367">
        <f t="shared" ref="E37:J38" si="13">ROUND(E11*($D$34),0)</f>
        <v>1155496</v>
      </c>
      <c r="F37" s="367">
        <f t="shared" si="13"/>
        <v>200276</v>
      </c>
      <c r="G37" s="367">
        <f t="shared" si="13"/>
        <v>234546</v>
      </c>
      <c r="H37" s="367">
        <f t="shared" si="13"/>
        <v>652911</v>
      </c>
      <c r="I37" s="367">
        <f t="shared" si="13"/>
        <v>31865</v>
      </c>
      <c r="J37" s="367">
        <f t="shared" si="13"/>
        <v>70364</v>
      </c>
      <c r="K37" s="367"/>
      <c r="L37" s="648">
        <f>SUM(E37:J37)</f>
        <v>2345458</v>
      </c>
      <c r="M37" s="346"/>
      <c r="N37" s="389" t="s">
        <v>314</v>
      </c>
      <c r="O37" s="390">
        <f>SUM(P37:U37)</f>
        <v>1491773</v>
      </c>
      <c r="P37" s="391">
        <f>+E37-E49</f>
        <v>819131</v>
      </c>
      <c r="Q37" s="391">
        <f t="shared" ref="Q37:U38" si="14">+F37-F49</f>
        <v>110152</v>
      </c>
      <c r="R37" s="391">
        <f t="shared" si="14"/>
        <v>126655</v>
      </c>
      <c r="S37" s="391">
        <f t="shared" si="14"/>
        <v>346565</v>
      </c>
      <c r="T37" s="391">
        <f t="shared" si="14"/>
        <v>18906</v>
      </c>
      <c r="U37" s="392">
        <f t="shared" si="14"/>
        <v>70364</v>
      </c>
    </row>
    <row r="38" spans="1:21" x14ac:dyDescent="0.3">
      <c r="A38" s="386"/>
      <c r="B38" s="646"/>
      <c r="C38" s="646" t="s">
        <v>315</v>
      </c>
      <c r="D38" s="367">
        <f>SUM(E38:J38)</f>
        <v>9463892</v>
      </c>
      <c r="E38" s="367">
        <f t="shared" si="13"/>
        <v>3369710</v>
      </c>
      <c r="F38" s="367">
        <f t="shared" si="13"/>
        <v>1892778</v>
      </c>
      <c r="G38" s="367">
        <f t="shared" si="13"/>
        <v>1324945</v>
      </c>
      <c r="H38" s="367">
        <f t="shared" si="13"/>
        <v>2463967</v>
      </c>
      <c r="I38" s="367">
        <f t="shared" si="13"/>
        <v>128575</v>
      </c>
      <c r="J38" s="367">
        <f t="shared" si="13"/>
        <v>283917</v>
      </c>
      <c r="K38" s="367"/>
      <c r="L38" s="648">
        <f t="shared" ref="L38:L39" si="15">SUM(E38:J38)</f>
        <v>9463892</v>
      </c>
      <c r="M38" s="346"/>
      <c r="N38" s="389" t="s">
        <v>315</v>
      </c>
      <c r="O38" s="390">
        <f>SUM(P38:U38)</f>
        <v>4501808</v>
      </c>
      <c r="P38" s="391">
        <f>+E38-E50</f>
        <v>1238031</v>
      </c>
      <c r="Q38" s="391">
        <f t="shared" si="14"/>
        <v>499504</v>
      </c>
      <c r="R38" s="391">
        <f t="shared" si="14"/>
        <v>974232</v>
      </c>
      <c r="S38" s="391">
        <f t="shared" si="14"/>
        <v>1429840</v>
      </c>
      <c r="T38" s="391">
        <f t="shared" si="14"/>
        <v>76284</v>
      </c>
      <c r="U38" s="392">
        <f t="shared" si="14"/>
        <v>283917</v>
      </c>
    </row>
    <row r="39" spans="1:21" x14ac:dyDescent="0.3">
      <c r="A39" s="386"/>
      <c r="B39" s="646"/>
      <c r="C39" s="646" t="s">
        <v>189</v>
      </c>
      <c r="D39" s="647">
        <f>+D37+D38</f>
        <v>11809350</v>
      </c>
      <c r="E39" s="647">
        <f t="shared" ref="E39:J39" si="16">+E37+E38</f>
        <v>4525206</v>
      </c>
      <c r="F39" s="647">
        <f t="shared" si="16"/>
        <v>2093054</v>
      </c>
      <c r="G39" s="647">
        <f t="shared" si="16"/>
        <v>1559491</v>
      </c>
      <c r="H39" s="647">
        <f t="shared" si="16"/>
        <v>3116878</v>
      </c>
      <c r="I39" s="647">
        <f t="shared" si="16"/>
        <v>160440</v>
      </c>
      <c r="J39" s="647">
        <f t="shared" si="16"/>
        <v>354281</v>
      </c>
      <c r="K39" s="647"/>
      <c r="L39" s="649">
        <f t="shared" si="15"/>
        <v>11809350</v>
      </c>
      <c r="M39" s="346"/>
      <c r="N39" s="389" t="s">
        <v>189</v>
      </c>
      <c r="O39" s="390">
        <f>SUM(O37:O38)</f>
        <v>5993581</v>
      </c>
      <c r="P39" s="391">
        <f>+P37+P38</f>
        <v>2057162</v>
      </c>
      <c r="Q39" s="391">
        <f t="shared" ref="Q39:U39" si="17">+Q37+Q38</f>
        <v>609656</v>
      </c>
      <c r="R39" s="391">
        <f t="shared" si="17"/>
        <v>1100887</v>
      </c>
      <c r="S39" s="391">
        <f t="shared" si="17"/>
        <v>1776405</v>
      </c>
      <c r="T39" s="391">
        <f t="shared" si="17"/>
        <v>95190</v>
      </c>
      <c r="U39" s="392">
        <f t="shared" si="17"/>
        <v>354281</v>
      </c>
    </row>
    <row r="40" spans="1:21" x14ac:dyDescent="0.3">
      <c r="A40" s="353"/>
      <c r="B40" s="356"/>
      <c r="C40" s="356"/>
      <c r="D40" s="361"/>
      <c r="E40" s="361"/>
      <c r="F40" s="361"/>
      <c r="G40" s="361"/>
      <c r="H40" s="361"/>
      <c r="I40" s="361"/>
      <c r="J40" s="361"/>
      <c r="K40" s="367"/>
      <c r="L40" s="650"/>
      <c r="M40" s="346"/>
      <c r="N40" s="353"/>
      <c r="O40" s="363">
        <f>SUM(P40:U40)</f>
        <v>6103704</v>
      </c>
      <c r="P40" s="363">
        <f>+E39-E58</f>
        <v>1721438</v>
      </c>
      <c r="Q40" s="363">
        <f t="shared" ref="Q40:U40" si="18">+F39-F58</f>
        <v>1467383</v>
      </c>
      <c r="R40" s="363">
        <f t="shared" si="18"/>
        <v>1100887</v>
      </c>
      <c r="S40" s="363">
        <f t="shared" si="18"/>
        <v>1718806</v>
      </c>
      <c r="T40" s="363">
        <f t="shared" si="18"/>
        <v>95190</v>
      </c>
      <c r="U40" s="394">
        <f t="shared" si="18"/>
        <v>0</v>
      </c>
    </row>
    <row r="41" spans="1:21" x14ac:dyDescent="0.3">
      <c r="A41" s="353"/>
      <c r="B41" s="356" t="s">
        <v>331</v>
      </c>
      <c r="C41" s="356" t="s">
        <v>314</v>
      </c>
      <c r="D41" s="395">
        <f t="shared" ref="D41:J42" si="19">+D11+D37</f>
        <v>23667804.077587329</v>
      </c>
      <c r="E41" s="395">
        <f t="shared" si="19"/>
        <v>11660009</v>
      </c>
      <c r="F41" s="395">
        <f t="shared" si="19"/>
        <v>2020967</v>
      </c>
      <c r="G41" s="395">
        <f t="shared" si="19"/>
        <v>2366781</v>
      </c>
      <c r="H41" s="395">
        <f t="shared" si="19"/>
        <v>6588466</v>
      </c>
      <c r="I41" s="395">
        <f t="shared" si="19"/>
        <v>321546</v>
      </c>
      <c r="J41" s="395">
        <f t="shared" si="19"/>
        <v>710034</v>
      </c>
      <c r="K41" s="367"/>
      <c r="L41" s="650">
        <f t="shared" ref="L41:L43" si="20">SUM(E41:J41)</f>
        <v>23667803</v>
      </c>
      <c r="M41" s="346"/>
    </row>
    <row r="42" spans="1:21" x14ac:dyDescent="0.3">
      <c r="A42" s="353"/>
      <c r="B42" s="356"/>
      <c r="C42" s="356" t="s">
        <v>315</v>
      </c>
      <c r="D42" s="395">
        <f t="shared" si="19"/>
        <v>95499258.651025653</v>
      </c>
      <c r="E42" s="395">
        <f t="shared" si="19"/>
        <v>34003434</v>
      </c>
      <c r="F42" s="395">
        <f t="shared" si="19"/>
        <v>19099851</v>
      </c>
      <c r="G42" s="395">
        <f t="shared" si="19"/>
        <v>13369896</v>
      </c>
      <c r="H42" s="395">
        <f t="shared" si="19"/>
        <v>24863664</v>
      </c>
      <c r="I42" s="395">
        <f t="shared" si="19"/>
        <v>1297435</v>
      </c>
      <c r="J42" s="395">
        <f t="shared" si="19"/>
        <v>2864978</v>
      </c>
      <c r="K42" s="361"/>
      <c r="L42" s="393">
        <f t="shared" si="20"/>
        <v>95499258</v>
      </c>
    </row>
    <row r="43" spans="1:21" x14ac:dyDescent="0.3">
      <c r="A43" s="353"/>
      <c r="B43" s="356"/>
      <c r="C43" s="356" t="s">
        <v>189</v>
      </c>
      <c r="D43" s="395">
        <f>+D41+D42</f>
        <v>119167062.72861299</v>
      </c>
      <c r="E43" s="395">
        <f t="shared" ref="E43:J43" si="21">+E41+E42</f>
        <v>45663443</v>
      </c>
      <c r="F43" s="395">
        <f t="shared" si="21"/>
        <v>21120818</v>
      </c>
      <c r="G43" s="395">
        <f t="shared" si="21"/>
        <v>15736677</v>
      </c>
      <c r="H43" s="395">
        <f t="shared" si="21"/>
        <v>31452130</v>
      </c>
      <c r="I43" s="395">
        <f t="shared" si="21"/>
        <v>1618981</v>
      </c>
      <c r="J43" s="395">
        <f t="shared" si="21"/>
        <v>3575012</v>
      </c>
      <c r="K43" s="361"/>
      <c r="L43" s="393">
        <f t="shared" si="20"/>
        <v>119167061</v>
      </c>
    </row>
    <row r="44" spans="1:21" x14ac:dyDescent="0.3">
      <c r="A44" s="353"/>
      <c r="B44" s="356"/>
      <c r="C44" s="356"/>
      <c r="D44" s="396">
        <f>SUM(E44:J44)</f>
        <v>0.99999998549420499</v>
      </c>
      <c r="E44" s="396">
        <f>+E43/$D$43</f>
        <v>0.38318845790461725</v>
      </c>
      <c r="F44" s="396">
        <f t="shared" ref="F44:J44" si="22">+F43/$D$43</f>
        <v>0.17723704450196806</v>
      </c>
      <c r="G44" s="396">
        <f t="shared" si="22"/>
        <v>0.13205559186969451</v>
      </c>
      <c r="H44" s="396">
        <f t="shared" si="22"/>
        <v>0.26393308083482775</v>
      </c>
      <c r="I44" s="396">
        <f t="shared" si="22"/>
        <v>1.3585809391702572E-2</v>
      </c>
      <c r="J44" s="396">
        <f t="shared" si="22"/>
        <v>3.0000000991394833E-2</v>
      </c>
      <c r="K44" s="361"/>
      <c r="L44" s="393"/>
    </row>
    <row r="45" spans="1:21" x14ac:dyDescent="0.3">
      <c r="A45" s="353"/>
      <c r="B45" s="356"/>
      <c r="C45" s="397" t="s">
        <v>332</v>
      </c>
      <c r="D45" s="361"/>
      <c r="E45" s="398"/>
      <c r="F45" s="398"/>
      <c r="G45" s="398"/>
      <c r="H45" s="398"/>
      <c r="I45" s="399"/>
      <c r="J45" s="361"/>
      <c r="K45" s="361"/>
      <c r="L45" s="393"/>
    </row>
    <row r="46" spans="1:21" x14ac:dyDescent="0.3">
      <c r="A46" s="386"/>
      <c r="B46" s="387" t="s">
        <v>317</v>
      </c>
      <c r="C46" s="387" t="s">
        <v>314</v>
      </c>
      <c r="D46" s="400"/>
      <c r="E46" s="401">
        <v>0.29110000000000003</v>
      </c>
      <c r="F46" s="401">
        <v>0.45</v>
      </c>
      <c r="G46" s="401">
        <v>0.46</v>
      </c>
      <c r="H46" s="401">
        <v>0.46920000000000001</v>
      </c>
      <c r="I46" s="401">
        <v>0.40670000000000001</v>
      </c>
      <c r="J46" s="400"/>
      <c r="K46" s="400"/>
      <c r="L46" s="402"/>
    </row>
    <row r="47" spans="1:21" x14ac:dyDescent="0.3">
      <c r="A47" s="386"/>
      <c r="B47" s="400"/>
      <c r="C47" s="387" t="s">
        <v>315</v>
      </c>
      <c r="D47" s="400"/>
      <c r="E47" s="401">
        <v>0.63260000000000005</v>
      </c>
      <c r="F47" s="401">
        <v>0.73609999999999998</v>
      </c>
      <c r="G47" s="401">
        <v>0.26469999999999999</v>
      </c>
      <c r="H47" s="401">
        <v>0.41970000000000002</v>
      </c>
      <c r="I47" s="401">
        <v>0.40670000000000001</v>
      </c>
      <c r="J47" s="400"/>
      <c r="K47" s="400"/>
      <c r="L47" s="402"/>
    </row>
    <row r="48" spans="1:21" x14ac:dyDescent="0.3">
      <c r="A48" s="386"/>
      <c r="B48" s="400"/>
      <c r="C48" s="387"/>
      <c r="D48" s="400"/>
      <c r="E48" s="400"/>
      <c r="F48" s="400"/>
      <c r="G48" s="400"/>
      <c r="H48" s="400"/>
      <c r="I48" s="400"/>
      <c r="J48" s="400"/>
      <c r="K48" s="400"/>
      <c r="L48" s="402"/>
    </row>
    <row r="49" spans="1:14" x14ac:dyDescent="0.3">
      <c r="A49" s="386"/>
      <c r="B49" s="387" t="s">
        <v>333</v>
      </c>
      <c r="C49" s="387" t="s">
        <v>314</v>
      </c>
      <c r="D49" s="391">
        <f>SUM(E49:J49)</f>
        <v>853685</v>
      </c>
      <c r="E49" s="388">
        <f t="shared" ref="E49:J50" si="23">ROUND(E37*E46,0)</f>
        <v>336365</v>
      </c>
      <c r="F49" s="388">
        <f t="shared" si="23"/>
        <v>90124</v>
      </c>
      <c r="G49" s="388">
        <f t="shared" si="23"/>
        <v>107891</v>
      </c>
      <c r="H49" s="388">
        <f t="shared" si="23"/>
        <v>306346</v>
      </c>
      <c r="I49" s="388">
        <f t="shared" si="23"/>
        <v>12959</v>
      </c>
      <c r="J49" s="388">
        <f t="shared" si="23"/>
        <v>0</v>
      </c>
      <c r="K49" s="400"/>
      <c r="L49" s="392">
        <f t="shared" ref="L49:L56" si="24">SUM(E49:J49)</f>
        <v>853685</v>
      </c>
      <c r="M49" s="368">
        <f>+H49+G49</f>
        <v>414237</v>
      </c>
      <c r="N49" s="403" t="s">
        <v>334</v>
      </c>
    </row>
    <row r="50" spans="1:14" x14ac:dyDescent="0.3">
      <c r="A50" s="386"/>
      <c r="B50" s="400"/>
      <c r="C50" s="387" t="s">
        <v>315</v>
      </c>
      <c r="D50" s="391">
        <f>SUM(E50:J50)</f>
        <v>4962084</v>
      </c>
      <c r="E50" s="388">
        <f t="shared" si="23"/>
        <v>2131679</v>
      </c>
      <c r="F50" s="388">
        <f t="shared" si="23"/>
        <v>1393274</v>
      </c>
      <c r="G50" s="388">
        <f t="shared" si="23"/>
        <v>350713</v>
      </c>
      <c r="H50" s="388">
        <f t="shared" si="23"/>
        <v>1034127</v>
      </c>
      <c r="I50" s="388">
        <f t="shared" si="23"/>
        <v>52291</v>
      </c>
      <c r="J50" s="388">
        <f t="shared" si="23"/>
        <v>0</v>
      </c>
      <c r="K50" s="400"/>
      <c r="L50" s="392">
        <f t="shared" si="24"/>
        <v>4962084</v>
      </c>
      <c r="M50" s="368">
        <f>+H50+G50</f>
        <v>1384840</v>
      </c>
      <c r="N50" s="368">
        <f>SUM(M49:M50)</f>
        <v>1799077</v>
      </c>
    </row>
    <row r="51" spans="1:14" x14ac:dyDescent="0.3">
      <c r="A51" s="386"/>
      <c r="B51" s="400"/>
      <c r="C51" s="387" t="s">
        <v>321</v>
      </c>
      <c r="D51" s="391">
        <f t="shared" ref="D51:D57" si="25">SUM(E51:J51)</f>
        <v>354281</v>
      </c>
      <c r="E51" s="400"/>
      <c r="F51" s="400"/>
      <c r="G51" s="400"/>
      <c r="H51" s="400"/>
      <c r="I51" s="400"/>
      <c r="J51" s="388">
        <f>ROUND(D39*0.03,0)</f>
        <v>354281</v>
      </c>
      <c r="K51" s="400"/>
      <c r="L51" s="392">
        <f t="shared" si="24"/>
        <v>354281</v>
      </c>
      <c r="N51" s="368">
        <f>+H56</f>
        <v>57599</v>
      </c>
    </row>
    <row r="52" spans="1:14" x14ac:dyDescent="0.3">
      <c r="A52" s="386"/>
      <c r="B52" s="400"/>
      <c r="C52" s="387" t="s">
        <v>322</v>
      </c>
      <c r="D52" s="391"/>
      <c r="E52" s="400"/>
      <c r="F52" s="400"/>
      <c r="G52" s="400"/>
      <c r="H52" s="400"/>
      <c r="I52" s="400"/>
      <c r="J52" s="388"/>
      <c r="K52" s="400"/>
      <c r="L52" s="392"/>
      <c r="N52" s="368">
        <f>SUM(N50:N51)</f>
        <v>1856676</v>
      </c>
    </row>
    <row r="53" spans="1:14" x14ac:dyDescent="0.3">
      <c r="A53" s="386"/>
      <c r="B53" s="400"/>
      <c r="C53" s="387" t="s">
        <v>323</v>
      </c>
      <c r="D53" s="391">
        <f t="shared" si="25"/>
        <v>0</v>
      </c>
      <c r="E53" s="400"/>
      <c r="F53" s="400"/>
      <c r="G53" s="400"/>
      <c r="H53" s="400"/>
      <c r="I53" s="400"/>
      <c r="J53" s="391">
        <f>ROUND(+D22*C34,0)</f>
        <v>0</v>
      </c>
      <c r="K53" s="400"/>
      <c r="L53" s="392">
        <f t="shared" si="24"/>
        <v>0</v>
      </c>
    </row>
    <row r="54" spans="1:14" x14ac:dyDescent="0.3">
      <c r="A54" s="386"/>
      <c r="B54" s="400"/>
      <c r="C54" s="387" t="s">
        <v>335</v>
      </c>
      <c r="D54" s="391"/>
      <c r="E54" s="400"/>
      <c r="F54" s="400"/>
      <c r="G54" s="400"/>
      <c r="H54" s="400"/>
      <c r="I54" s="400"/>
      <c r="J54" s="391"/>
      <c r="K54" s="400"/>
      <c r="L54" s="392"/>
    </row>
    <row r="55" spans="1:14" x14ac:dyDescent="0.3">
      <c r="A55" s="386"/>
      <c r="B55" s="400"/>
      <c r="C55" s="387" t="s">
        <v>325</v>
      </c>
      <c r="D55" s="391">
        <f t="shared" si="25"/>
        <v>0</v>
      </c>
      <c r="E55" s="388"/>
      <c r="F55" s="388"/>
      <c r="G55" s="388"/>
      <c r="H55" s="388"/>
      <c r="I55" s="388"/>
      <c r="J55" s="388"/>
      <c r="K55" s="400"/>
      <c r="L55" s="392">
        <f t="shared" si="24"/>
        <v>0</v>
      </c>
    </row>
    <row r="56" spans="1:14" x14ac:dyDescent="0.3">
      <c r="A56" s="386"/>
      <c r="B56" s="400"/>
      <c r="C56" s="387" t="s">
        <v>326</v>
      </c>
      <c r="D56" s="391">
        <f t="shared" si="25"/>
        <v>-464404</v>
      </c>
      <c r="E56" s="388">
        <v>335724</v>
      </c>
      <c r="F56" s="388">
        <v>-857727</v>
      </c>
      <c r="G56" s="388"/>
      <c r="H56" s="388">
        <v>57599</v>
      </c>
      <c r="I56" s="388"/>
      <c r="J56" s="388"/>
      <c r="K56" s="400"/>
      <c r="L56" s="392">
        <f t="shared" si="24"/>
        <v>-464404</v>
      </c>
    </row>
    <row r="57" spans="1:14" x14ac:dyDescent="0.3">
      <c r="A57" s="386"/>
      <c r="B57" s="400"/>
      <c r="C57" s="387" t="s">
        <v>336</v>
      </c>
      <c r="D57" s="391">
        <f t="shared" si="25"/>
        <v>-596</v>
      </c>
      <c r="E57" s="388">
        <v>-596</v>
      </c>
      <c r="F57" s="388"/>
      <c r="G57" s="388"/>
      <c r="H57" s="388"/>
      <c r="I57" s="388"/>
      <c r="J57" s="388"/>
      <c r="K57" s="400"/>
      <c r="L57" s="392"/>
    </row>
    <row r="58" spans="1:14" x14ac:dyDescent="0.3">
      <c r="A58" s="386"/>
      <c r="B58" s="400"/>
      <c r="C58" s="387" t="s">
        <v>189</v>
      </c>
      <c r="D58" s="391">
        <f>SUM(D49:D56)</f>
        <v>5705646</v>
      </c>
      <c r="E58" s="391">
        <f t="shared" ref="E58:L58" si="26">SUM(E49:E56)</f>
        <v>2803768</v>
      </c>
      <c r="F58" s="391">
        <f t="shared" si="26"/>
        <v>625671</v>
      </c>
      <c r="G58" s="391">
        <f t="shared" si="26"/>
        <v>458604</v>
      </c>
      <c r="H58" s="391">
        <f t="shared" si="26"/>
        <v>1398072</v>
      </c>
      <c r="I58" s="391">
        <f t="shared" si="26"/>
        <v>65250</v>
      </c>
      <c r="J58" s="391">
        <f t="shared" si="26"/>
        <v>354281</v>
      </c>
      <c r="K58" s="391">
        <f t="shared" si="26"/>
        <v>0</v>
      </c>
      <c r="L58" s="392">
        <f t="shared" si="26"/>
        <v>5705646</v>
      </c>
    </row>
    <row r="59" spans="1:14" x14ac:dyDescent="0.3">
      <c r="A59" s="353"/>
      <c r="B59" s="354"/>
      <c r="C59" s="356"/>
      <c r="D59" s="363"/>
      <c r="E59" s="363"/>
      <c r="F59" s="363"/>
      <c r="G59" s="363"/>
      <c r="H59" s="363"/>
      <c r="I59" s="363"/>
      <c r="J59" s="363"/>
      <c r="K59" s="354"/>
      <c r="L59" s="362"/>
    </row>
    <row r="60" spans="1:14" x14ac:dyDescent="0.3">
      <c r="A60" s="353"/>
      <c r="B60" s="356" t="s">
        <v>337</v>
      </c>
      <c r="C60" s="356" t="s">
        <v>314</v>
      </c>
      <c r="D60" s="404">
        <f>SUM(E60:J60)</f>
        <v>9278804</v>
      </c>
      <c r="E60" s="404">
        <f>+E18+E49</f>
        <v>3535147</v>
      </c>
      <c r="F60" s="404">
        <f t="shared" ref="F60:J61" si="27">+F18+F49</f>
        <v>2338403</v>
      </c>
      <c r="G60" s="404">
        <f t="shared" si="27"/>
        <v>734635</v>
      </c>
      <c r="H60" s="404">
        <f t="shared" si="27"/>
        <v>2301309</v>
      </c>
      <c r="I60" s="404">
        <f t="shared" si="27"/>
        <v>369310</v>
      </c>
      <c r="J60" s="404">
        <f t="shared" si="27"/>
        <v>0</v>
      </c>
      <c r="K60" s="354"/>
      <c r="L60" s="362">
        <f t="shared" ref="L60:L69" si="28">SUM(E60:J60)</f>
        <v>9278804</v>
      </c>
    </row>
    <row r="61" spans="1:14" x14ac:dyDescent="0.3">
      <c r="A61" s="353"/>
      <c r="B61" s="354"/>
      <c r="C61" s="356" t="s">
        <v>315</v>
      </c>
      <c r="D61" s="404">
        <f t="shared" ref="D61:D68" si="29">SUM(E61:J61)</f>
        <v>51677417</v>
      </c>
      <c r="E61" s="404">
        <f>+E19+E50</f>
        <v>21870235</v>
      </c>
      <c r="F61" s="404">
        <f t="shared" si="27"/>
        <v>13740600</v>
      </c>
      <c r="G61" s="404">
        <f t="shared" si="27"/>
        <v>3969458</v>
      </c>
      <c r="H61" s="404">
        <f t="shared" si="27"/>
        <v>11388337</v>
      </c>
      <c r="I61" s="404">
        <f t="shared" si="27"/>
        <v>708787</v>
      </c>
      <c r="J61" s="404">
        <f t="shared" si="27"/>
        <v>0</v>
      </c>
      <c r="K61" s="354"/>
      <c r="L61" s="362">
        <f t="shared" si="28"/>
        <v>51677417</v>
      </c>
    </row>
    <row r="62" spans="1:14" x14ac:dyDescent="0.3">
      <c r="A62" s="353"/>
      <c r="B62" s="354"/>
      <c r="C62" s="356" t="s">
        <v>321</v>
      </c>
      <c r="D62" s="404">
        <f t="shared" si="29"/>
        <v>861762</v>
      </c>
      <c r="E62" s="404">
        <f t="shared" ref="E62:J68" si="30">+E20+E51</f>
        <v>0</v>
      </c>
      <c r="F62" s="404">
        <f t="shared" si="30"/>
        <v>0</v>
      </c>
      <c r="G62" s="404">
        <f t="shared" si="30"/>
        <v>0</v>
      </c>
      <c r="H62" s="404">
        <f t="shared" si="30"/>
        <v>0</v>
      </c>
      <c r="I62" s="404">
        <f t="shared" si="30"/>
        <v>0</v>
      </c>
      <c r="J62" s="404">
        <f t="shared" si="30"/>
        <v>861762</v>
      </c>
      <c r="K62" s="354"/>
      <c r="L62" s="362">
        <f t="shared" si="28"/>
        <v>861762</v>
      </c>
    </row>
    <row r="63" spans="1:14" x14ac:dyDescent="0.3">
      <c r="A63" s="353"/>
      <c r="B63" s="354"/>
      <c r="C63" s="356" t="s">
        <v>322</v>
      </c>
      <c r="D63" s="404">
        <f t="shared" si="29"/>
        <v>2047678</v>
      </c>
      <c r="E63" s="404">
        <f t="shared" si="30"/>
        <v>0</v>
      </c>
      <c r="F63" s="404">
        <f t="shared" si="30"/>
        <v>0</v>
      </c>
      <c r="G63" s="404">
        <f t="shared" si="30"/>
        <v>0</v>
      </c>
      <c r="H63" s="404">
        <f t="shared" si="30"/>
        <v>0</v>
      </c>
      <c r="I63" s="404">
        <f t="shared" si="30"/>
        <v>0</v>
      </c>
      <c r="J63" s="404">
        <f t="shared" si="30"/>
        <v>2047678</v>
      </c>
      <c r="K63" s="354"/>
      <c r="L63" s="362">
        <f t="shared" si="28"/>
        <v>2047678</v>
      </c>
      <c r="M63" s="368">
        <f>SUM(D62:D63)</f>
        <v>2909440</v>
      </c>
      <c r="N63" s="368">
        <f>+D63+D62</f>
        <v>2909440</v>
      </c>
    </row>
    <row r="64" spans="1:14" x14ac:dyDescent="0.3">
      <c r="A64" s="353"/>
      <c r="B64" s="354"/>
      <c r="C64" s="356" t="s">
        <v>323</v>
      </c>
      <c r="D64" s="405">
        <f t="shared" si="29"/>
        <v>77427</v>
      </c>
      <c r="E64" s="404">
        <f t="shared" si="30"/>
        <v>0</v>
      </c>
      <c r="F64" s="404">
        <f t="shared" si="30"/>
        <v>0</v>
      </c>
      <c r="G64" s="404">
        <f t="shared" si="30"/>
        <v>0</v>
      </c>
      <c r="H64" s="404">
        <f t="shared" si="30"/>
        <v>0</v>
      </c>
      <c r="I64" s="404">
        <f t="shared" si="30"/>
        <v>0</v>
      </c>
      <c r="J64" s="404">
        <f t="shared" si="30"/>
        <v>77427</v>
      </c>
      <c r="K64" s="354"/>
      <c r="L64" s="362">
        <f t="shared" si="28"/>
        <v>77427</v>
      </c>
    </row>
    <row r="65" spans="1:14" x14ac:dyDescent="0.3">
      <c r="A65" s="353"/>
      <c r="B65" s="354"/>
      <c r="C65" s="356" t="s">
        <v>324</v>
      </c>
      <c r="D65" s="405">
        <f t="shared" si="29"/>
        <v>723750</v>
      </c>
      <c r="E65" s="404">
        <f t="shared" si="30"/>
        <v>0</v>
      </c>
      <c r="F65" s="404">
        <f t="shared" si="30"/>
        <v>0</v>
      </c>
      <c r="G65" s="404">
        <f t="shared" si="30"/>
        <v>0</v>
      </c>
      <c r="H65" s="404">
        <f t="shared" si="30"/>
        <v>0</v>
      </c>
      <c r="I65" s="404">
        <f t="shared" si="30"/>
        <v>0</v>
      </c>
      <c r="J65" s="404">
        <f t="shared" si="30"/>
        <v>723750</v>
      </c>
      <c r="K65" s="354"/>
      <c r="L65" s="362">
        <f t="shared" si="28"/>
        <v>723750</v>
      </c>
      <c r="M65" s="368">
        <f>SUM(J64:J65)</f>
        <v>801177</v>
      </c>
      <c r="N65" s="368">
        <f>+D65+D64</f>
        <v>801177</v>
      </c>
    </row>
    <row r="66" spans="1:14" x14ac:dyDescent="0.3">
      <c r="A66" s="353"/>
      <c r="B66" s="354"/>
      <c r="C66" s="356" t="s">
        <v>325</v>
      </c>
      <c r="D66" s="404">
        <f t="shared" si="29"/>
        <v>-823884</v>
      </c>
      <c r="E66" s="404">
        <f t="shared" si="30"/>
        <v>0</v>
      </c>
      <c r="F66" s="404">
        <f t="shared" si="30"/>
        <v>-823884</v>
      </c>
      <c r="G66" s="404">
        <f t="shared" si="30"/>
        <v>0</v>
      </c>
      <c r="H66" s="404">
        <f t="shared" si="30"/>
        <v>0</v>
      </c>
      <c r="I66" s="404">
        <f t="shared" si="30"/>
        <v>0</v>
      </c>
      <c r="J66" s="404">
        <f t="shared" si="30"/>
        <v>0</v>
      </c>
      <c r="K66" s="354"/>
      <c r="L66" s="362">
        <f t="shared" si="28"/>
        <v>-823884</v>
      </c>
    </row>
    <row r="67" spans="1:14" x14ac:dyDescent="0.3">
      <c r="A67" s="353"/>
      <c r="B67" s="354"/>
      <c r="C67" s="356" t="s">
        <v>326</v>
      </c>
      <c r="D67" s="404">
        <f t="shared" si="29"/>
        <v>-157443</v>
      </c>
      <c r="E67" s="404">
        <f t="shared" si="30"/>
        <v>486949</v>
      </c>
      <c r="F67" s="404">
        <f t="shared" si="30"/>
        <v>-831516</v>
      </c>
      <c r="G67" s="404">
        <f t="shared" si="30"/>
        <v>30696</v>
      </c>
      <c r="H67" s="404">
        <f t="shared" si="30"/>
        <v>143049</v>
      </c>
      <c r="I67" s="404">
        <f t="shared" si="30"/>
        <v>4170</v>
      </c>
      <c r="J67" s="404">
        <f t="shared" si="30"/>
        <v>9209</v>
      </c>
      <c r="K67" s="354"/>
      <c r="L67" s="362">
        <f t="shared" si="28"/>
        <v>-157443</v>
      </c>
    </row>
    <row r="68" spans="1:14" x14ac:dyDescent="0.3">
      <c r="A68" s="353"/>
      <c r="B68" s="354"/>
      <c r="C68" s="356" t="s">
        <v>327</v>
      </c>
      <c r="D68" s="404">
        <f t="shared" si="29"/>
        <v>912493</v>
      </c>
      <c r="E68" s="404">
        <f t="shared" si="30"/>
        <v>324518</v>
      </c>
      <c r="F68" s="404">
        <f t="shared" si="30"/>
        <v>182618</v>
      </c>
      <c r="G68" s="404">
        <f t="shared" si="30"/>
        <v>127832</v>
      </c>
      <c r="H68" s="404">
        <f t="shared" si="30"/>
        <v>237727</v>
      </c>
      <c r="I68" s="404">
        <f t="shared" si="30"/>
        <v>12405</v>
      </c>
      <c r="J68" s="404">
        <f t="shared" si="30"/>
        <v>27393</v>
      </c>
      <c r="K68" s="354"/>
      <c r="L68" s="362">
        <f t="shared" si="28"/>
        <v>912493</v>
      </c>
      <c r="N68" s="368">
        <f>+D68+D67</f>
        <v>755050</v>
      </c>
    </row>
    <row r="69" spans="1:14" x14ac:dyDescent="0.3">
      <c r="A69" s="353"/>
      <c r="B69" s="354"/>
      <c r="C69" s="356" t="s">
        <v>189</v>
      </c>
      <c r="D69" s="406">
        <f>SUM(D60:D68)</f>
        <v>64598004</v>
      </c>
      <c r="E69" s="405">
        <f>SUM(E60:E68)</f>
        <v>26216849</v>
      </c>
      <c r="F69" s="404">
        <f t="shared" ref="F69:J69" si="31">SUM(F60:F68)</f>
        <v>14606221</v>
      </c>
      <c r="G69" s="404">
        <f t="shared" si="31"/>
        <v>4862621</v>
      </c>
      <c r="H69" s="404">
        <f t="shared" si="31"/>
        <v>14070422</v>
      </c>
      <c r="I69" s="404">
        <f t="shared" si="31"/>
        <v>1094672</v>
      </c>
      <c r="J69" s="404">
        <f t="shared" si="31"/>
        <v>3747219</v>
      </c>
      <c r="K69" s="354"/>
      <c r="L69" s="362">
        <f t="shared" si="28"/>
        <v>64598004</v>
      </c>
      <c r="M69" s="368">
        <f>+G69+H69</f>
        <v>18933043</v>
      </c>
    </row>
    <row r="70" spans="1:14" x14ac:dyDescent="0.3">
      <c r="A70" s="353"/>
      <c r="B70" s="354"/>
      <c r="C70" s="356"/>
      <c r="D70" s="404"/>
      <c r="E70" s="404" t="s">
        <v>319</v>
      </c>
      <c r="F70" s="404"/>
      <c r="G70" s="404"/>
      <c r="H70" s="404"/>
      <c r="I70" s="404"/>
      <c r="J70" s="404"/>
      <c r="K70" s="354"/>
      <c r="L70" s="362"/>
    </row>
    <row r="71" spans="1:14" x14ac:dyDescent="0.3">
      <c r="A71" s="353"/>
      <c r="B71" s="356" t="s">
        <v>338</v>
      </c>
      <c r="C71" s="356" t="s">
        <v>314</v>
      </c>
      <c r="D71" s="404">
        <f>+D41-D60-D62-D64-D66-D67</f>
        <v>14431138.077587329</v>
      </c>
      <c r="E71" s="404">
        <f t="shared" ref="E71:J71" si="32">+E41-E60-E62-E64-E66-E67</f>
        <v>7637913</v>
      </c>
      <c r="F71" s="404">
        <f t="shared" si="32"/>
        <v>1337964</v>
      </c>
      <c r="G71" s="404">
        <f t="shared" si="32"/>
        <v>1601450</v>
      </c>
      <c r="H71" s="404">
        <f t="shared" si="32"/>
        <v>4144108</v>
      </c>
      <c r="I71" s="404">
        <f t="shared" si="32"/>
        <v>-51934</v>
      </c>
      <c r="J71" s="404">
        <f t="shared" si="32"/>
        <v>-238364</v>
      </c>
      <c r="K71" s="354"/>
      <c r="L71" s="362">
        <f t="shared" ref="L71:L74" si="33">SUM(E71:J71)</f>
        <v>14431137</v>
      </c>
    </row>
    <row r="72" spans="1:14" x14ac:dyDescent="0.3">
      <c r="A72" s="353"/>
      <c r="B72" s="354"/>
      <c r="C72" s="356" t="s">
        <v>315</v>
      </c>
      <c r="D72" s="404">
        <f>+D42-D61-D63-D65-D68</f>
        <v>40137920.651025653</v>
      </c>
      <c r="E72" s="404">
        <f t="shared" ref="E72:J72" si="34">+E42-E61-E63-E65-E68</f>
        <v>11808681</v>
      </c>
      <c r="F72" s="404">
        <f t="shared" si="34"/>
        <v>5176633</v>
      </c>
      <c r="G72" s="404">
        <f t="shared" si="34"/>
        <v>9272606</v>
      </c>
      <c r="H72" s="404">
        <f t="shared" si="34"/>
        <v>13237600</v>
      </c>
      <c r="I72" s="404">
        <f t="shared" si="34"/>
        <v>576243</v>
      </c>
      <c r="J72" s="404">
        <f t="shared" si="34"/>
        <v>66157</v>
      </c>
      <c r="K72" s="354"/>
      <c r="L72" s="362">
        <f t="shared" si="33"/>
        <v>40137920</v>
      </c>
    </row>
    <row r="73" spans="1:14" x14ac:dyDescent="0.3">
      <c r="A73" s="353"/>
      <c r="B73" s="354"/>
      <c r="C73" s="356" t="s">
        <v>339</v>
      </c>
      <c r="D73" s="404">
        <v>0</v>
      </c>
      <c r="E73" s="407"/>
      <c r="F73" s="407"/>
      <c r="G73" s="407"/>
      <c r="H73" s="407"/>
      <c r="I73" s="407"/>
      <c r="J73" s="407"/>
      <c r="K73" s="354"/>
      <c r="L73" s="362"/>
    </row>
    <row r="74" spans="1:14" x14ac:dyDescent="0.3">
      <c r="A74" s="353"/>
      <c r="B74" s="354"/>
      <c r="C74" s="356" t="s">
        <v>340</v>
      </c>
      <c r="D74" s="406">
        <f>+D71+D72+D73</f>
        <v>54569058.728612982</v>
      </c>
      <c r="E74" s="408">
        <f>+E71+E72</f>
        <v>19446594</v>
      </c>
      <c r="F74" s="408">
        <f t="shared" ref="F74:J74" si="35">+F71+F72</f>
        <v>6514597</v>
      </c>
      <c r="G74" s="408">
        <f t="shared" si="35"/>
        <v>10874056</v>
      </c>
      <c r="H74" s="408">
        <f t="shared" si="35"/>
        <v>17381708</v>
      </c>
      <c r="I74" s="408">
        <f t="shared" si="35"/>
        <v>524309</v>
      </c>
      <c r="J74" s="408">
        <f t="shared" si="35"/>
        <v>-172207</v>
      </c>
      <c r="K74" s="354"/>
      <c r="L74" s="362">
        <f t="shared" si="33"/>
        <v>54569057</v>
      </c>
    </row>
    <row r="75" spans="1:14" ht="19.5" thickBot="1" x14ac:dyDescent="0.35">
      <c r="A75" s="371"/>
      <c r="B75" s="354"/>
      <c r="C75" s="373"/>
      <c r="D75" s="409">
        <f>+D74/D43</f>
        <v>0.45792064920561731</v>
      </c>
      <c r="E75" s="373"/>
      <c r="F75" s="410"/>
      <c r="G75" s="373"/>
      <c r="H75" s="373"/>
      <c r="I75" s="373"/>
      <c r="J75" s="373"/>
      <c r="K75" s="373"/>
      <c r="L75" s="374">
        <f t="shared" ref="L75" si="36">SUM(E75:J75)</f>
        <v>0</v>
      </c>
    </row>
    <row r="76" spans="1:14" ht="32.25" thickTop="1" x14ac:dyDescent="0.5">
      <c r="B76" s="643" t="s">
        <v>406</v>
      </c>
      <c r="C76" s="617"/>
      <c r="D76" s="617"/>
      <c r="E76" s="617"/>
      <c r="F76" s="618"/>
      <c r="G76" s="617"/>
      <c r="H76" s="617"/>
      <c r="I76" s="617"/>
      <c r="J76" s="617"/>
      <c r="K76" s="617"/>
      <c r="L76" s="619"/>
    </row>
    <row r="77" spans="1:14" ht="21" x14ac:dyDescent="0.35">
      <c r="B77" s="620" t="s">
        <v>341</v>
      </c>
      <c r="C77" s="621" t="s">
        <v>342</v>
      </c>
      <c r="D77" s="622">
        <f>+D39</f>
        <v>11809350</v>
      </c>
      <c r="E77" s="622">
        <f>+E39</f>
        <v>4525206</v>
      </c>
      <c r="F77" s="622">
        <f t="shared" ref="F77:J77" si="37">+F39</f>
        <v>2093054</v>
      </c>
      <c r="G77" s="622">
        <f t="shared" si="37"/>
        <v>1559491</v>
      </c>
      <c r="H77" s="622">
        <f t="shared" si="37"/>
        <v>3116878</v>
      </c>
      <c r="I77" s="622">
        <f t="shared" si="37"/>
        <v>160440</v>
      </c>
      <c r="J77" s="622">
        <f t="shared" si="37"/>
        <v>354281</v>
      </c>
      <c r="K77" s="627"/>
      <c r="L77" s="627"/>
      <c r="M77" s="403"/>
    </row>
    <row r="78" spans="1:14" ht="21" x14ac:dyDescent="0.35">
      <c r="B78" s="621"/>
      <c r="C78" s="621" t="s">
        <v>343</v>
      </c>
      <c r="D78" s="622">
        <f>-D58</f>
        <v>-5705646</v>
      </c>
      <c r="E78" s="622">
        <f>-E58</f>
        <v>-2803768</v>
      </c>
      <c r="F78" s="622">
        <f t="shared" ref="F78:J78" si="38">-F58</f>
        <v>-625671</v>
      </c>
      <c r="G78" s="622">
        <f t="shared" si="38"/>
        <v>-458604</v>
      </c>
      <c r="H78" s="622">
        <f t="shared" si="38"/>
        <v>-1398072</v>
      </c>
      <c r="I78" s="622">
        <f t="shared" si="38"/>
        <v>-65250</v>
      </c>
      <c r="J78" s="632">
        <f t="shared" si="38"/>
        <v>-354281</v>
      </c>
      <c r="K78" s="635" t="s">
        <v>411</v>
      </c>
      <c r="L78" s="635"/>
      <c r="M78" s="636"/>
    </row>
    <row r="79" spans="1:14" ht="42.75" thickBot="1" x14ac:dyDescent="0.4">
      <c r="B79" s="634" t="s">
        <v>345</v>
      </c>
      <c r="C79" s="624" t="s">
        <v>344</v>
      </c>
      <c r="D79" s="625">
        <f>SUM(D77:D78)</f>
        <v>6103704</v>
      </c>
      <c r="E79" s="625">
        <f>SUM(E77:E78)</f>
        <v>1721438</v>
      </c>
      <c r="F79" s="625">
        <f t="shared" ref="F79:J79" si="39">SUM(F77:F78)</f>
        <v>1467383</v>
      </c>
      <c r="G79" s="625">
        <f t="shared" si="39"/>
        <v>1100887</v>
      </c>
      <c r="H79" s="625">
        <f t="shared" si="39"/>
        <v>1718806</v>
      </c>
      <c r="I79" s="625">
        <f t="shared" si="39"/>
        <v>95190</v>
      </c>
      <c r="J79" s="625">
        <f t="shared" si="39"/>
        <v>0</v>
      </c>
      <c r="K79" s="637">
        <f>SUM(E79:J79)</f>
        <v>6103704</v>
      </c>
      <c r="L79" s="637">
        <f>+K79-D79</f>
        <v>0</v>
      </c>
      <c r="M79" s="403"/>
    </row>
    <row r="80" spans="1:14" ht="21.75" thickTop="1" x14ac:dyDescent="0.35">
      <c r="B80" s="627"/>
      <c r="C80" s="627"/>
      <c r="D80" s="627"/>
      <c r="E80" s="627"/>
      <c r="F80" s="637"/>
      <c r="G80" s="627"/>
      <c r="H80" s="627"/>
      <c r="I80" s="627"/>
      <c r="J80" s="627"/>
      <c r="K80" s="627"/>
      <c r="L80" s="627" t="s">
        <v>240</v>
      </c>
      <c r="M80" s="403"/>
    </row>
    <row r="81" spans="2:14" ht="21" x14ac:dyDescent="0.35">
      <c r="B81" s="626" t="s">
        <v>404</v>
      </c>
      <c r="C81" s="630" t="s">
        <v>405</v>
      </c>
      <c r="D81" s="641">
        <f>SUM(E81:J81)</f>
        <v>49591385.99999997</v>
      </c>
      <c r="E81" s="641">
        <f>+'1. Reconciliation'!D11</f>
        <v>16916697.999999985</v>
      </c>
      <c r="F81" s="641">
        <f>+'1. Reconciliation'!E11</f>
        <v>6373059.9999999991</v>
      </c>
      <c r="G81" s="641"/>
      <c r="H81" s="641">
        <f>+'1. Reconciliation'!F11</f>
        <v>25791000</v>
      </c>
      <c r="I81" s="641"/>
      <c r="J81" s="641">
        <f>+'1. Reconciliation'!G11</f>
        <v>510627.9999999851</v>
      </c>
      <c r="K81" s="637">
        <f>SUM(E81:J81)</f>
        <v>49591385.99999997</v>
      </c>
      <c r="L81" s="403">
        <f>+'FY21 Bud Payer Mix HIDE'!G57</f>
        <v>1008927</v>
      </c>
      <c r="M81" s="403"/>
      <c r="N81" s="623" t="s">
        <v>407</v>
      </c>
    </row>
    <row r="82" spans="2:14" ht="21" x14ac:dyDescent="0.35">
      <c r="B82" s="627" t="s">
        <v>408</v>
      </c>
      <c r="C82" s="627"/>
      <c r="D82" s="641">
        <f>SUM(E82:J82)</f>
        <v>-1126032.9999999702</v>
      </c>
      <c r="E82" s="642">
        <f t="shared" ref="E82:J82" si="40">+E74-E79-E81</f>
        <v>808458.0000000149</v>
      </c>
      <c r="F82" s="642">
        <f t="shared" si="40"/>
        <v>-1325845.9999999991</v>
      </c>
      <c r="G82" s="642">
        <f t="shared" si="40"/>
        <v>9773169</v>
      </c>
      <c r="H82" s="642">
        <f t="shared" si="40"/>
        <v>-10128098</v>
      </c>
      <c r="I82" s="642">
        <f t="shared" si="40"/>
        <v>429119</v>
      </c>
      <c r="J82" s="642">
        <f t="shared" si="40"/>
        <v>-682834.9999999851</v>
      </c>
      <c r="K82" s="637">
        <f>SUM(E82:J82)</f>
        <v>-1126032.9999999702</v>
      </c>
      <c r="L82" s="627"/>
      <c r="M82" s="403"/>
    </row>
    <row r="83" spans="2:14" ht="21" x14ac:dyDescent="0.35">
      <c r="B83" s="627"/>
      <c r="C83" s="627"/>
      <c r="D83" s="627"/>
      <c r="E83" s="627"/>
      <c r="F83" s="628"/>
      <c r="G83" s="627"/>
      <c r="H83" s="627"/>
      <c r="I83" s="627"/>
      <c r="J83" s="627"/>
      <c r="K83" s="627"/>
      <c r="L83" s="627"/>
      <c r="M83" s="403"/>
    </row>
    <row r="84" spans="2:14" ht="21.75" thickBot="1" x14ac:dyDescent="0.4">
      <c r="B84" s="627" t="s">
        <v>409</v>
      </c>
      <c r="C84" s="627"/>
      <c r="D84" s="629">
        <f>SUM(E84:J84)</f>
        <v>54569057</v>
      </c>
      <c r="E84" s="629">
        <f>SUM(E79:E82)</f>
        <v>19446594</v>
      </c>
      <c r="F84" s="629">
        <f t="shared" ref="F84:J84" si="41">SUM(F79:F82)</f>
        <v>6514597</v>
      </c>
      <c r="G84" s="629">
        <f t="shared" si="41"/>
        <v>10874056</v>
      </c>
      <c r="H84" s="629">
        <f t="shared" si="41"/>
        <v>17381708</v>
      </c>
      <c r="I84" s="629">
        <f t="shared" si="41"/>
        <v>524309</v>
      </c>
      <c r="J84" s="629">
        <f t="shared" si="41"/>
        <v>-172207</v>
      </c>
      <c r="K84" s="627"/>
      <c r="L84" s="627"/>
      <c r="M84" s="403"/>
    </row>
    <row r="85" spans="2:14" ht="21.75" thickTop="1" x14ac:dyDescent="0.35">
      <c r="B85" s="627"/>
      <c r="C85" s="627"/>
      <c r="D85" s="627"/>
      <c r="E85" s="627"/>
      <c r="F85" s="638"/>
      <c r="G85" s="627"/>
      <c r="H85" s="627"/>
      <c r="I85" s="627"/>
      <c r="J85" s="627"/>
      <c r="K85" s="627"/>
      <c r="L85" s="627"/>
      <c r="M85" s="403"/>
    </row>
    <row r="86" spans="2:14" x14ac:dyDescent="0.3">
      <c r="B86" s="403" t="s">
        <v>410</v>
      </c>
      <c r="C86" s="403"/>
      <c r="D86" s="639">
        <f>SUM(D79:D82)</f>
        <v>54569057</v>
      </c>
      <c r="E86" s="639">
        <f t="shared" ref="E86:J86" si="42">SUM(E79:E82)</f>
        <v>19446594</v>
      </c>
      <c r="F86" s="639">
        <f t="shared" si="42"/>
        <v>6514597</v>
      </c>
      <c r="G86" s="639">
        <f t="shared" si="42"/>
        <v>10874056</v>
      </c>
      <c r="H86" s="639">
        <f t="shared" si="42"/>
        <v>17381708</v>
      </c>
      <c r="I86" s="639">
        <f t="shared" si="42"/>
        <v>524309</v>
      </c>
      <c r="J86" s="639">
        <f t="shared" si="42"/>
        <v>-172207</v>
      </c>
      <c r="K86" s="403"/>
      <c r="L86" s="640"/>
      <c r="M86" s="403"/>
    </row>
    <row r="87" spans="2:14" x14ac:dyDescent="0.3">
      <c r="B87" s="403"/>
      <c r="C87" s="403"/>
      <c r="D87" s="403"/>
      <c r="E87" s="403"/>
      <c r="F87" s="403"/>
      <c r="G87" s="403"/>
      <c r="H87" s="403"/>
      <c r="I87" s="403"/>
      <c r="J87" s="403"/>
      <c r="K87" s="403"/>
      <c r="L87" s="640"/>
      <c r="M87" s="403"/>
    </row>
    <row r="88" spans="2:14" x14ac:dyDescent="0.3">
      <c r="B88" s="403"/>
      <c r="C88" s="403"/>
      <c r="D88" s="403"/>
      <c r="E88" s="403"/>
      <c r="F88" s="403"/>
      <c r="G88" s="403"/>
      <c r="H88" s="403"/>
      <c r="I88" s="403"/>
      <c r="J88" s="403"/>
      <c r="K88" s="403"/>
      <c r="L88" s="640"/>
      <c r="M88" s="403"/>
    </row>
    <row r="89" spans="2:14" x14ac:dyDescent="0.3">
      <c r="B89" s="403"/>
      <c r="C89" s="403"/>
      <c r="D89" s="403"/>
      <c r="E89" s="403"/>
      <c r="F89" s="403"/>
      <c r="G89" s="403"/>
      <c r="H89" s="403"/>
      <c r="I89" s="403"/>
      <c r="J89" s="403"/>
      <c r="K89" s="403"/>
      <c r="L89" s="640"/>
      <c r="M89" s="40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8BA55-58D8-4D6F-A733-87D7A63C33DA}">
  <sheetPr>
    <tabColor rgb="FF0070C0"/>
    <pageSetUpPr fitToPage="1"/>
  </sheetPr>
  <dimension ref="A1:AH283"/>
  <sheetViews>
    <sheetView showGridLines="0" topLeftCell="A9" zoomScale="50" zoomScaleNormal="50" workbookViewId="0">
      <selection activeCell="H32" sqref="H32"/>
    </sheetView>
  </sheetViews>
  <sheetFormatPr defaultColWidth="9.28515625" defaultRowHeight="15" outlineLevelRow="1" outlineLevelCol="1" x14ac:dyDescent="0.25"/>
  <cols>
    <col min="1" max="1" width="9.7109375" style="612" customWidth="1"/>
    <col min="2" max="2" width="92.28515625" style="197" customWidth="1"/>
    <col min="3" max="3" width="42.28515625" style="21" customWidth="1"/>
    <col min="4" max="4" width="50.7109375" style="21" hidden="1" customWidth="1" outlineLevel="1"/>
    <col min="5" max="5" width="42.28515625" style="21" hidden="1" customWidth="1" outlineLevel="1" collapsed="1"/>
    <col min="6" max="6" width="34.7109375" style="21" customWidth="1" collapsed="1"/>
    <col min="7" max="7" width="41.5703125" style="21" customWidth="1"/>
    <col min="8" max="8" width="3" style="21" customWidth="1"/>
    <col min="9" max="11" width="36.42578125" style="21" customWidth="1"/>
    <col min="12" max="20" width="36.42578125" style="21" hidden="1" customWidth="1" outlineLevel="1"/>
    <col min="21" max="21" width="36.42578125" style="21" customWidth="1" collapsed="1"/>
    <col min="22" max="22" width="39" style="615" customWidth="1"/>
    <col min="23" max="23" width="31.42578125" hidden="1" customWidth="1" outlineLevel="1"/>
    <col min="24" max="25" width="24.28515625" hidden="1" customWidth="1" outlineLevel="1"/>
    <col min="26" max="26" width="28" hidden="1" customWidth="1" outlineLevel="1" collapsed="1"/>
    <col min="27" max="27" width="8.7109375" style="345" customWidth="1" collapsed="1"/>
    <col min="28" max="28" width="8.7109375" style="345" customWidth="1"/>
    <col min="29" max="29" width="21.28515625" style="345" customWidth="1"/>
    <col min="30" max="34" width="8.7109375" style="345" customWidth="1"/>
    <col min="35" max="16384" width="9.28515625" style="614"/>
  </cols>
  <sheetData>
    <row r="1" spans="1:34" s="413" customFormat="1" hidden="1" outlineLevel="1" x14ac:dyDescent="0.25">
      <c r="A1" s="411"/>
      <c r="B1" s="197"/>
      <c r="C1" s="197"/>
      <c r="D1" s="197"/>
      <c r="E1" s="197"/>
      <c r="F1" s="197"/>
      <c r="G1" s="197"/>
      <c r="H1" s="197"/>
      <c r="I1" s="197"/>
      <c r="J1" s="197"/>
      <c r="K1" s="197"/>
      <c r="L1" s="197"/>
      <c r="M1" s="197"/>
      <c r="N1" s="197"/>
      <c r="O1" s="197"/>
      <c r="P1" s="197"/>
      <c r="Q1" s="197"/>
      <c r="R1" s="197"/>
      <c r="S1" s="197"/>
      <c r="T1" s="197"/>
      <c r="U1" s="197"/>
      <c r="V1" s="412"/>
      <c r="W1"/>
      <c r="X1"/>
      <c r="Y1"/>
      <c r="Z1"/>
      <c r="AA1" s="345"/>
      <c r="AB1" s="345"/>
      <c r="AC1" s="345"/>
      <c r="AD1" s="345"/>
      <c r="AE1" s="345"/>
      <c r="AF1" s="345"/>
      <c r="AG1" s="345"/>
      <c r="AH1" s="345"/>
    </row>
    <row r="2" spans="1:34" s="413" customFormat="1" hidden="1" outlineLevel="1" x14ac:dyDescent="0.25">
      <c r="A2" s="411"/>
      <c r="B2" s="197"/>
      <c r="C2" s="197" t="s">
        <v>346</v>
      </c>
      <c r="D2" s="197" t="s">
        <v>347</v>
      </c>
      <c r="E2" s="197" t="s">
        <v>348</v>
      </c>
      <c r="F2" s="197" t="s">
        <v>349</v>
      </c>
      <c r="G2" s="197"/>
      <c r="H2" s="197"/>
      <c r="I2" s="197"/>
      <c r="J2" s="197"/>
      <c r="K2" s="197"/>
      <c r="L2" s="197"/>
      <c r="M2" s="197"/>
      <c r="N2" s="197"/>
      <c r="O2" s="197"/>
      <c r="P2" s="197"/>
      <c r="Q2" s="197"/>
      <c r="R2" s="197"/>
      <c r="S2" s="197"/>
      <c r="T2" s="197"/>
      <c r="U2" s="197"/>
      <c r="V2" s="412"/>
      <c r="W2"/>
      <c r="X2"/>
      <c r="Y2"/>
      <c r="Z2"/>
      <c r="AA2" s="345"/>
      <c r="AB2" s="345"/>
      <c r="AC2" s="345"/>
      <c r="AD2" s="345"/>
      <c r="AE2" s="345"/>
      <c r="AF2" s="345"/>
      <c r="AG2" s="345"/>
      <c r="AH2" s="345"/>
    </row>
    <row r="3" spans="1:34" s="418" customFormat="1" hidden="1" outlineLevel="1" x14ac:dyDescent="0.25">
      <c r="A3" s="414"/>
      <c r="B3" s="415"/>
      <c r="C3" s="416" t="s">
        <v>350</v>
      </c>
      <c r="D3" s="416" t="s">
        <v>351</v>
      </c>
      <c r="E3" s="416" t="s">
        <v>352</v>
      </c>
      <c r="F3" s="416" t="s">
        <v>350</v>
      </c>
      <c r="G3" s="416" t="s">
        <v>352</v>
      </c>
      <c r="H3" s="416" t="s">
        <v>353</v>
      </c>
      <c r="I3" s="416" t="s">
        <v>350</v>
      </c>
      <c r="J3" s="416" t="s">
        <v>350</v>
      </c>
      <c r="K3" s="416" t="s">
        <v>350</v>
      </c>
      <c r="L3" s="416" t="s">
        <v>350</v>
      </c>
      <c r="M3" s="416" t="s">
        <v>350</v>
      </c>
      <c r="N3" s="416" t="s">
        <v>350</v>
      </c>
      <c r="O3" s="416" t="s">
        <v>350</v>
      </c>
      <c r="P3" s="416" t="s">
        <v>350</v>
      </c>
      <c r="Q3" s="416" t="s">
        <v>350</v>
      </c>
      <c r="R3" s="416" t="s">
        <v>350</v>
      </c>
      <c r="S3" s="416" t="s">
        <v>350</v>
      </c>
      <c r="T3" s="416" t="s">
        <v>350</v>
      </c>
      <c r="U3" s="416"/>
      <c r="V3" s="417"/>
      <c r="W3"/>
      <c r="X3"/>
      <c r="Y3"/>
      <c r="Z3"/>
      <c r="AA3" s="345"/>
      <c r="AB3" s="345"/>
      <c r="AC3" s="345"/>
      <c r="AD3" s="345"/>
      <c r="AE3" s="345"/>
      <c r="AF3" s="345"/>
      <c r="AG3" s="345"/>
      <c r="AH3" s="345"/>
    </row>
    <row r="4" spans="1:34" s="418" customFormat="1" hidden="1" outlineLevel="1" x14ac:dyDescent="0.25">
      <c r="A4" s="414"/>
      <c r="B4" s="415"/>
      <c r="C4" s="416" t="s">
        <v>306</v>
      </c>
      <c r="D4" s="416" t="s">
        <v>306</v>
      </c>
      <c r="E4" s="416" t="s">
        <v>306</v>
      </c>
      <c r="F4" s="416" t="s">
        <v>306</v>
      </c>
      <c r="G4" s="416" t="s">
        <v>306</v>
      </c>
      <c r="H4" s="416" t="s">
        <v>353</v>
      </c>
      <c r="I4" s="416" t="s">
        <v>306</v>
      </c>
      <c r="J4" s="416" t="s">
        <v>306</v>
      </c>
      <c r="K4" s="416" t="s">
        <v>306</v>
      </c>
      <c r="L4" s="416" t="s">
        <v>306</v>
      </c>
      <c r="M4" s="416" t="s">
        <v>306</v>
      </c>
      <c r="N4" s="416" t="s">
        <v>306</v>
      </c>
      <c r="O4" s="416" t="s">
        <v>306</v>
      </c>
      <c r="P4" s="416" t="s">
        <v>306</v>
      </c>
      <c r="Q4" s="416" t="s">
        <v>306</v>
      </c>
      <c r="R4" s="416" t="s">
        <v>306</v>
      </c>
      <c r="S4" s="416" t="s">
        <v>306</v>
      </c>
      <c r="T4" s="416" t="s">
        <v>306</v>
      </c>
      <c r="U4" s="416"/>
      <c r="V4" s="417"/>
      <c r="W4"/>
      <c r="X4"/>
      <c r="Y4"/>
      <c r="Z4"/>
      <c r="AA4" s="345"/>
      <c r="AB4" s="345"/>
      <c r="AC4" s="345"/>
      <c r="AD4" s="345"/>
      <c r="AE4" s="345"/>
      <c r="AF4" s="345"/>
      <c r="AG4" s="345"/>
      <c r="AH4" s="345"/>
    </row>
    <row r="5" spans="1:34" s="418" customFormat="1" ht="60" hidden="1" customHeight="1" outlineLevel="1" x14ac:dyDescent="0.25">
      <c r="A5" s="414"/>
      <c r="B5" s="419"/>
      <c r="C5" s="416" t="s">
        <v>354</v>
      </c>
      <c r="D5" s="416" t="s">
        <v>355</v>
      </c>
      <c r="E5" s="416" t="s">
        <v>355</v>
      </c>
      <c r="F5" s="416" t="s">
        <v>355</v>
      </c>
      <c r="G5" s="416" t="s">
        <v>356</v>
      </c>
      <c r="H5" s="416" t="s">
        <v>353</v>
      </c>
      <c r="I5" s="416" t="s">
        <v>357</v>
      </c>
      <c r="J5" s="416" t="s">
        <v>358</v>
      </c>
      <c r="K5" s="416" t="s">
        <v>359</v>
      </c>
      <c r="L5" s="416" t="s">
        <v>360</v>
      </c>
      <c r="M5" s="416" t="s">
        <v>361</v>
      </c>
      <c r="N5" s="416" t="s">
        <v>362</v>
      </c>
      <c r="O5" s="416" t="s">
        <v>363</v>
      </c>
      <c r="P5" s="416" t="s">
        <v>364</v>
      </c>
      <c r="Q5" s="416" t="s">
        <v>365</v>
      </c>
      <c r="R5" s="416" t="s">
        <v>366</v>
      </c>
      <c r="S5" s="416" t="s">
        <v>367</v>
      </c>
      <c r="T5" s="416" t="s">
        <v>368</v>
      </c>
      <c r="U5" s="416"/>
      <c r="V5" s="417"/>
      <c r="W5"/>
      <c r="X5"/>
      <c r="Y5"/>
      <c r="Z5"/>
      <c r="AA5" s="345"/>
      <c r="AB5" s="345"/>
      <c r="AC5" s="345"/>
      <c r="AD5" s="345"/>
      <c r="AE5" s="345"/>
      <c r="AF5" s="345"/>
      <c r="AG5" s="345"/>
      <c r="AH5" s="345"/>
    </row>
    <row r="6" spans="1:34" s="418" customFormat="1" ht="24" customHeight="1" collapsed="1" thickBot="1" x14ac:dyDescent="0.3">
      <c r="A6" s="414"/>
      <c r="B6" s="419"/>
      <c r="C6" s="416" t="s">
        <v>353</v>
      </c>
      <c r="D6" s="416" t="s">
        <v>353</v>
      </c>
      <c r="E6" s="416" t="s">
        <v>353</v>
      </c>
      <c r="F6" s="416" t="s">
        <v>353</v>
      </c>
      <c r="G6" s="416" t="s">
        <v>353</v>
      </c>
      <c r="H6" s="416" t="s">
        <v>353</v>
      </c>
      <c r="I6" s="416" t="s">
        <v>353</v>
      </c>
      <c r="J6" s="416" t="s">
        <v>353</v>
      </c>
      <c r="K6" s="416" t="s">
        <v>353</v>
      </c>
      <c r="L6" s="416" t="s">
        <v>353</v>
      </c>
      <c r="M6" s="416" t="s">
        <v>353</v>
      </c>
      <c r="N6" s="416" t="s">
        <v>353</v>
      </c>
      <c r="O6" s="416" t="s">
        <v>353</v>
      </c>
      <c r="P6" s="416" t="s">
        <v>353</v>
      </c>
      <c r="Q6" s="416" t="s">
        <v>353</v>
      </c>
      <c r="R6" s="416" t="s">
        <v>353</v>
      </c>
      <c r="S6" s="416" t="s">
        <v>353</v>
      </c>
      <c r="T6" s="416" t="s">
        <v>353</v>
      </c>
      <c r="U6" s="416"/>
      <c r="V6" s="417"/>
      <c r="W6"/>
      <c r="X6"/>
      <c r="Y6"/>
      <c r="Z6"/>
      <c r="AA6" s="345"/>
      <c r="AB6" s="345"/>
      <c r="AC6" s="345"/>
      <c r="AD6" s="345"/>
      <c r="AE6" s="345"/>
      <c r="AF6" s="345"/>
      <c r="AG6" s="345"/>
      <c r="AH6" s="345"/>
    </row>
    <row r="7" spans="1:34" s="428" customFormat="1" ht="31.5" x14ac:dyDescent="0.5">
      <c r="A7" s="420"/>
      <c r="B7" s="421" t="str">
        <f>F4</f>
        <v>Springfield Hospital</v>
      </c>
      <c r="C7" s="422"/>
      <c r="D7" s="422"/>
      <c r="E7" s="422"/>
      <c r="F7" s="422"/>
      <c r="G7" s="422"/>
      <c r="H7" s="422"/>
      <c r="I7" s="422"/>
      <c r="J7" s="422"/>
      <c r="K7" s="422"/>
      <c r="L7" s="422"/>
      <c r="M7" s="422"/>
      <c r="N7" s="422"/>
      <c r="O7" s="422"/>
      <c r="P7" s="422"/>
      <c r="Q7" s="422"/>
      <c r="R7" s="422"/>
      <c r="S7" s="422"/>
      <c r="T7" s="422"/>
      <c r="U7" s="422"/>
      <c r="V7" s="423"/>
      <c r="W7" s="424"/>
      <c r="X7" s="425"/>
      <c r="Y7" s="426"/>
      <c r="Z7" s="427"/>
    </row>
    <row r="8" spans="1:34" s="428" customFormat="1" ht="31.5" x14ac:dyDescent="0.5">
      <c r="A8" s="420"/>
      <c r="B8" s="429" t="s">
        <v>513</v>
      </c>
      <c r="C8" s="430"/>
      <c r="E8" s="431" t="s">
        <v>514</v>
      </c>
      <c r="F8" s="430"/>
      <c r="G8" s="430"/>
      <c r="H8" s="430"/>
      <c r="I8" s="430"/>
      <c r="J8" s="430"/>
      <c r="K8" s="430"/>
      <c r="L8" s="430"/>
      <c r="M8" s="430"/>
      <c r="N8" s="430"/>
      <c r="O8" s="430"/>
      <c r="P8" s="430"/>
      <c r="Q8" s="430"/>
      <c r="R8" s="430"/>
      <c r="S8" s="430"/>
      <c r="T8" s="430"/>
      <c r="U8" s="430"/>
      <c r="V8" s="432"/>
      <c r="W8" s="433"/>
      <c r="X8" s="434"/>
      <c r="Y8" s="435"/>
      <c r="Z8" s="427"/>
    </row>
    <row r="9" spans="1:34" s="428" customFormat="1" ht="32.25" thickBot="1" x14ac:dyDescent="0.55000000000000004">
      <c r="A9" s="420"/>
      <c r="B9" s="436" t="s">
        <v>515</v>
      </c>
      <c r="C9" s="437"/>
      <c r="D9" s="437"/>
      <c r="E9" s="437"/>
      <c r="F9" s="438"/>
      <c r="G9" s="438"/>
      <c r="H9" s="438"/>
      <c r="I9" s="438"/>
      <c r="J9" s="438"/>
      <c r="K9" s="438"/>
      <c r="L9" s="438"/>
      <c r="M9" s="438"/>
      <c r="N9" s="438"/>
      <c r="O9" s="438"/>
      <c r="P9" s="438"/>
      <c r="Q9" s="438"/>
      <c r="R9" s="438"/>
      <c r="S9" s="438"/>
      <c r="T9" s="438"/>
      <c r="U9" s="438"/>
      <c r="V9" s="439"/>
      <c r="W9" s="433"/>
      <c r="X9" s="434"/>
      <c r="Y9" s="435"/>
      <c r="Z9" s="427"/>
    </row>
    <row r="10" spans="1:34" s="448" customFormat="1" ht="83.25" customHeight="1" thickBot="1" x14ac:dyDescent="0.55000000000000004">
      <c r="A10" s="440"/>
      <c r="B10" s="441" t="s">
        <v>369</v>
      </c>
      <c r="C10" s="442" t="str">
        <f>RIGHT(C5,4)&amp;" A"</f>
        <v>2019 A</v>
      </c>
      <c r="D10" s="442" t="str">
        <f>RIGHT(D5,4)&amp;" B"</f>
        <v>2020 B</v>
      </c>
      <c r="E10" s="442" t="str">
        <f>RIGHT(E5,4)&amp;" P"</f>
        <v>2020 P</v>
      </c>
      <c r="F10" s="443" t="s">
        <v>370</v>
      </c>
      <c r="G10" s="444" t="str">
        <f>RIGHT(G5,4)&amp;" B"</f>
        <v>2021 B</v>
      </c>
      <c r="H10" s="444"/>
      <c r="I10" s="445" t="str">
        <f t="shared" ref="I10:T10" si="0">RIGHT(I5,8)</f>
        <v>Oct-2020</v>
      </c>
      <c r="J10" s="445" t="str">
        <f t="shared" si="0"/>
        <v>Nov-2020</v>
      </c>
      <c r="K10" s="445" t="str">
        <f t="shared" si="0"/>
        <v>Dec-2020</v>
      </c>
      <c r="L10" s="445" t="str">
        <f t="shared" si="0"/>
        <v>Jan-2021</v>
      </c>
      <c r="M10" s="445" t="str">
        <f t="shared" si="0"/>
        <v>Feb-2021</v>
      </c>
      <c r="N10" s="445" t="str">
        <f t="shared" si="0"/>
        <v>Mar-2021</v>
      </c>
      <c r="O10" s="445" t="str">
        <f t="shared" si="0"/>
        <v>Apr-2021</v>
      </c>
      <c r="P10" s="445" t="str">
        <f t="shared" si="0"/>
        <v>May-2021</v>
      </c>
      <c r="Q10" s="445" t="str">
        <f t="shared" si="0"/>
        <v>Jun-2021</v>
      </c>
      <c r="R10" s="445" t="str">
        <f t="shared" si="0"/>
        <v>Jul-2021</v>
      </c>
      <c r="S10" s="445" t="str">
        <f t="shared" si="0"/>
        <v>Aug-2021</v>
      </c>
      <c r="T10" s="445" t="str">
        <f t="shared" si="0"/>
        <v>Sep-2021</v>
      </c>
      <c r="U10" s="445" t="s">
        <v>371</v>
      </c>
      <c r="V10" s="445" t="s">
        <v>372</v>
      </c>
      <c r="W10" s="443" t="s">
        <v>373</v>
      </c>
      <c r="X10" s="443" t="str">
        <f>MID(G10,1,6)&amp;"-"&amp;MID(V10,1,9)</f>
        <v>2021 B-2021 PROJ</v>
      </c>
      <c r="Y10" s="446" t="str">
        <f>MID(F10,1,6)&amp;"-"&amp;MID(V10,1,9)</f>
        <v>Due Ja-2021 PROJ</v>
      </c>
      <c r="Z10" s="443" t="s">
        <v>374</v>
      </c>
      <c r="AA10" s="447"/>
      <c r="AB10" s="447"/>
      <c r="AC10" s="447"/>
      <c r="AD10" s="447"/>
      <c r="AE10" s="447"/>
      <c r="AF10" s="447"/>
      <c r="AG10" s="447"/>
      <c r="AH10" s="447"/>
    </row>
    <row r="11" spans="1:34" s="453" customFormat="1" ht="24" thickBot="1" x14ac:dyDescent="0.3">
      <c r="A11" s="449"/>
      <c r="B11" s="450"/>
      <c r="C11" s="451"/>
      <c r="D11" s="451"/>
      <c r="E11" s="451"/>
      <c r="F11" s="451"/>
      <c r="G11" s="451"/>
      <c r="H11" s="451"/>
      <c r="I11" s="451"/>
      <c r="J11" s="451"/>
      <c r="K11" s="451"/>
      <c r="L11" s="451"/>
      <c r="M11" s="451"/>
      <c r="N11" s="451"/>
      <c r="O11" s="451"/>
      <c r="P11" s="451"/>
      <c r="Q11" s="451"/>
      <c r="R11" s="451"/>
      <c r="S11" s="451"/>
      <c r="T11" s="451"/>
      <c r="U11" s="451"/>
      <c r="V11" s="451"/>
      <c r="W11" s="27"/>
      <c r="X11" s="27"/>
      <c r="Y11" s="452"/>
      <c r="Z11"/>
      <c r="AA11" s="345"/>
      <c r="AB11" s="345"/>
      <c r="AC11" s="345"/>
      <c r="AD11" s="345"/>
      <c r="AE11" s="345"/>
      <c r="AF11" s="345"/>
      <c r="AG11" s="345"/>
      <c r="AH11" s="345"/>
    </row>
    <row r="12" spans="1:34" s="461" customFormat="1" ht="20.25" customHeight="1" x14ac:dyDescent="0.55000000000000004">
      <c r="A12" s="454"/>
      <c r="B12" s="455"/>
      <c r="C12" s="456"/>
      <c r="D12" s="456"/>
      <c r="E12" s="456"/>
      <c r="F12" s="456"/>
      <c r="G12" s="456"/>
      <c r="H12" s="456"/>
      <c r="I12" s="456"/>
      <c r="J12" s="456"/>
      <c r="K12" s="456"/>
      <c r="L12" s="456"/>
      <c r="M12" s="456"/>
      <c r="N12" s="456"/>
      <c r="O12" s="456"/>
      <c r="P12" s="456"/>
      <c r="Q12" s="456"/>
      <c r="R12" s="456"/>
      <c r="S12" s="456"/>
      <c r="T12" s="456"/>
      <c r="U12" s="456"/>
      <c r="V12" s="456"/>
      <c r="W12" s="457"/>
      <c r="X12" s="457"/>
      <c r="Y12" s="458"/>
      <c r="Z12" s="459"/>
      <c r="AA12" s="460"/>
      <c r="AB12" s="460"/>
      <c r="AC12" s="460"/>
      <c r="AD12" s="460"/>
      <c r="AE12" s="460"/>
      <c r="AF12" s="460"/>
      <c r="AG12" s="460"/>
      <c r="AH12" s="460"/>
    </row>
    <row r="13" spans="1:34" s="461" customFormat="1" ht="14.25" customHeight="1" thickBot="1" x14ac:dyDescent="0.6">
      <c r="A13" s="454"/>
      <c r="B13" s="462"/>
      <c r="C13" s="463"/>
      <c r="D13" s="463"/>
      <c r="E13" s="463"/>
      <c r="F13" s="463"/>
      <c r="G13" s="463"/>
      <c r="H13" s="463"/>
      <c r="I13" s="463"/>
      <c r="J13" s="463"/>
      <c r="K13" s="463"/>
      <c r="L13" s="463"/>
      <c r="M13" s="463"/>
      <c r="N13" s="463"/>
      <c r="O13" s="463"/>
      <c r="P13" s="463"/>
      <c r="Q13" s="463"/>
      <c r="R13" s="463"/>
      <c r="S13" s="463"/>
      <c r="T13" s="463"/>
      <c r="U13" s="463"/>
      <c r="V13" s="463"/>
      <c r="W13" s="462"/>
      <c r="X13" s="462"/>
      <c r="Y13" s="464"/>
      <c r="Z13" s="465"/>
      <c r="AA13" s="460"/>
      <c r="AB13" s="460"/>
      <c r="AC13" s="460"/>
      <c r="AD13" s="460"/>
      <c r="AE13" s="460"/>
      <c r="AF13" s="460"/>
      <c r="AG13" s="460"/>
      <c r="AH13" s="460"/>
    </row>
    <row r="14" spans="1:34" s="479" customFormat="1" ht="40.15" customHeight="1" x14ac:dyDescent="0.5">
      <c r="A14" s="466"/>
      <c r="B14" s="467" t="s">
        <v>375</v>
      </c>
      <c r="C14" s="468">
        <v>110212733.00000004</v>
      </c>
      <c r="D14" s="468">
        <v>106879865</v>
      </c>
      <c r="E14" s="468">
        <v>106879865</v>
      </c>
      <c r="F14" s="468"/>
      <c r="G14" s="469">
        <v>110072655</v>
      </c>
      <c r="H14" s="470"/>
      <c r="I14" s="471">
        <v>8209636</v>
      </c>
      <c r="J14" s="471">
        <v>7909816</v>
      </c>
      <c r="K14" s="471">
        <v>8152569</v>
      </c>
      <c r="L14" s="471">
        <v>0</v>
      </c>
      <c r="M14" s="471">
        <v>0</v>
      </c>
      <c r="N14" s="471">
        <v>0</v>
      </c>
      <c r="O14" s="471">
        <v>0</v>
      </c>
      <c r="P14" s="471">
        <v>0</v>
      </c>
      <c r="Q14" s="471">
        <v>0</v>
      </c>
      <c r="R14" s="471">
        <v>0</v>
      </c>
      <c r="S14" s="471">
        <v>0</v>
      </c>
      <c r="T14" s="471">
        <v>0</v>
      </c>
      <c r="U14" s="468">
        <f>SUM(I14:T14)</f>
        <v>24272021</v>
      </c>
      <c r="V14" s="472"/>
      <c r="W14" s="473"/>
      <c r="X14" s="474"/>
      <c r="Y14" s="475"/>
      <c r="Z14" s="476"/>
      <c r="AA14" s="477"/>
      <c r="AB14" s="478"/>
      <c r="AC14" s="478"/>
      <c r="AD14" s="478"/>
      <c r="AE14" s="478"/>
      <c r="AF14" s="478"/>
      <c r="AG14" s="478"/>
      <c r="AH14" s="478"/>
    </row>
    <row r="15" spans="1:34" s="156" customFormat="1" ht="72.75" customHeight="1" x14ac:dyDescent="0.5">
      <c r="A15" s="480"/>
      <c r="B15" s="481" t="s">
        <v>376</v>
      </c>
      <c r="C15" s="482">
        <v>-63838965</v>
      </c>
      <c r="D15" s="482">
        <v>-58890804.99999997</v>
      </c>
      <c r="E15" s="482">
        <v>-58890804.99999997</v>
      </c>
      <c r="F15" s="482"/>
      <c r="G15" s="483">
        <v>-60481269.000000007</v>
      </c>
      <c r="H15" s="484"/>
      <c r="I15" s="485">
        <v>-4861611</v>
      </c>
      <c r="J15" s="485">
        <v>-4643305</v>
      </c>
      <c r="K15" s="485">
        <v>-3966966</v>
      </c>
      <c r="L15" s="485">
        <v>0</v>
      </c>
      <c r="M15" s="485">
        <v>0</v>
      </c>
      <c r="N15" s="485">
        <v>0</v>
      </c>
      <c r="O15" s="485">
        <v>0</v>
      </c>
      <c r="P15" s="485">
        <v>0</v>
      </c>
      <c r="Q15" s="485">
        <v>0</v>
      </c>
      <c r="R15" s="485">
        <v>0</v>
      </c>
      <c r="S15" s="485">
        <v>0</v>
      </c>
      <c r="T15" s="485">
        <v>0</v>
      </c>
      <c r="U15" s="482">
        <f t="shared" ref="U15:U22" si="1">SUM(I15:T15)</f>
        <v>-13471882</v>
      </c>
      <c r="V15" s="486"/>
      <c r="W15" s="487"/>
      <c r="X15" s="488"/>
      <c r="Y15" s="489"/>
      <c r="Z15" s="490"/>
      <c r="AA15" s="491"/>
      <c r="AB15" s="492"/>
      <c r="AC15" s="492"/>
      <c r="AD15" s="492"/>
      <c r="AE15" s="492"/>
      <c r="AF15" s="492"/>
      <c r="AG15" s="492"/>
      <c r="AH15" s="492"/>
    </row>
    <row r="16" spans="1:34" s="156" customFormat="1" ht="40.15" customHeight="1" x14ac:dyDescent="0.5">
      <c r="A16" s="480" t="s">
        <v>377</v>
      </c>
      <c r="B16" s="493" t="s">
        <v>132</v>
      </c>
      <c r="C16" s="494">
        <v>1019053</v>
      </c>
      <c r="D16" s="494">
        <v>900129.99999999953</v>
      </c>
      <c r="E16" s="494">
        <v>900129.99999999953</v>
      </c>
      <c r="F16" s="494"/>
      <c r="G16" s="495">
        <v>1008927</v>
      </c>
      <c r="H16" s="496"/>
      <c r="I16" s="497">
        <v>68657</v>
      </c>
      <c r="J16" s="497">
        <v>68657</v>
      </c>
      <c r="K16" s="497">
        <v>68657</v>
      </c>
      <c r="L16" s="497">
        <v>0</v>
      </c>
      <c r="M16" s="497">
        <v>0</v>
      </c>
      <c r="N16" s="497">
        <v>0</v>
      </c>
      <c r="O16" s="497">
        <v>0</v>
      </c>
      <c r="P16" s="497">
        <v>0</v>
      </c>
      <c r="Q16" s="497">
        <v>0</v>
      </c>
      <c r="R16" s="497">
        <v>0</v>
      </c>
      <c r="S16" s="497">
        <v>0</v>
      </c>
      <c r="T16" s="497">
        <v>0</v>
      </c>
      <c r="U16" s="494">
        <f t="shared" si="1"/>
        <v>205971</v>
      </c>
      <c r="V16" s="498"/>
      <c r="W16" s="499"/>
      <c r="X16" s="500"/>
      <c r="Y16" s="501"/>
      <c r="Z16" s="502"/>
      <c r="AA16" s="491"/>
      <c r="AB16" s="492"/>
      <c r="AC16" s="492"/>
      <c r="AD16" s="492"/>
      <c r="AE16" s="492"/>
      <c r="AF16" s="492"/>
      <c r="AG16" s="492"/>
      <c r="AH16" s="492"/>
    </row>
    <row r="17" spans="1:34" s="156" customFormat="1" ht="39.75" customHeight="1" x14ac:dyDescent="0.5">
      <c r="A17" s="480"/>
      <c r="B17" s="503" t="s">
        <v>378</v>
      </c>
      <c r="C17" s="482">
        <v>0</v>
      </c>
      <c r="D17" s="482">
        <v>0</v>
      </c>
      <c r="E17" s="482">
        <v>0</v>
      </c>
      <c r="F17" s="482"/>
      <c r="G17" s="483">
        <v>0</v>
      </c>
      <c r="H17" s="484"/>
      <c r="I17" s="485">
        <v>0</v>
      </c>
      <c r="J17" s="485">
        <v>0</v>
      </c>
      <c r="K17" s="485">
        <v>0</v>
      </c>
      <c r="L17" s="485">
        <v>0</v>
      </c>
      <c r="M17" s="485">
        <v>0</v>
      </c>
      <c r="N17" s="485">
        <v>0</v>
      </c>
      <c r="O17" s="485">
        <v>0</v>
      </c>
      <c r="P17" s="485">
        <v>0</v>
      </c>
      <c r="Q17" s="485">
        <v>0</v>
      </c>
      <c r="R17" s="485">
        <v>0</v>
      </c>
      <c r="S17" s="485">
        <v>0</v>
      </c>
      <c r="T17" s="485">
        <v>0</v>
      </c>
      <c r="U17" s="482">
        <f t="shared" si="1"/>
        <v>0</v>
      </c>
      <c r="V17" s="486"/>
      <c r="W17" s="487"/>
      <c r="X17" s="488"/>
      <c r="Y17" s="489"/>
      <c r="Z17" s="490"/>
      <c r="AA17" s="491"/>
      <c r="AB17" s="492"/>
      <c r="AC17" s="492"/>
      <c r="AD17" s="492"/>
      <c r="AE17" s="492"/>
      <c r="AF17" s="492"/>
      <c r="AG17" s="492"/>
      <c r="AH17" s="492"/>
    </row>
    <row r="18" spans="1:34" s="479" customFormat="1" ht="40.15" customHeight="1" x14ac:dyDescent="0.5">
      <c r="A18" s="466"/>
      <c r="B18" s="504" t="s">
        <v>379</v>
      </c>
      <c r="C18" s="505">
        <v>47392821</v>
      </c>
      <c r="D18" s="505">
        <v>48889189.999999978</v>
      </c>
      <c r="E18" s="505">
        <v>48889189.999999978</v>
      </c>
      <c r="F18" s="505"/>
      <c r="G18" s="506">
        <v>50600312.99999997</v>
      </c>
      <c r="H18" s="507"/>
      <c r="I18" s="508">
        <v>3416682</v>
      </c>
      <c r="J18" s="508">
        <v>3335168</v>
      </c>
      <c r="K18" s="508">
        <v>4254260</v>
      </c>
      <c r="L18" s="508">
        <v>0</v>
      </c>
      <c r="M18" s="508">
        <v>0</v>
      </c>
      <c r="N18" s="508">
        <v>0</v>
      </c>
      <c r="O18" s="508">
        <v>0</v>
      </c>
      <c r="P18" s="508">
        <v>0</v>
      </c>
      <c r="Q18" s="508">
        <v>0</v>
      </c>
      <c r="R18" s="508">
        <v>0</v>
      </c>
      <c r="S18" s="508">
        <v>0</v>
      </c>
      <c r="T18" s="508">
        <v>0</v>
      </c>
      <c r="U18" s="505">
        <f t="shared" si="1"/>
        <v>11006110</v>
      </c>
      <c r="V18" s="509"/>
      <c r="W18" s="473"/>
      <c r="X18" s="474"/>
      <c r="Y18" s="475"/>
      <c r="Z18" s="476"/>
      <c r="AA18" s="477"/>
      <c r="AB18" s="478"/>
      <c r="AC18" s="478"/>
      <c r="AD18" s="478"/>
      <c r="AE18" s="478"/>
      <c r="AF18" s="478"/>
      <c r="AG18" s="478"/>
      <c r="AH18" s="478"/>
    </row>
    <row r="19" spans="1:34" s="156" customFormat="1" ht="40.15" customHeight="1" x14ac:dyDescent="0.5">
      <c r="A19" s="480"/>
      <c r="B19" s="503" t="s">
        <v>60</v>
      </c>
      <c r="C19" s="482">
        <v>0</v>
      </c>
      <c r="D19" s="482">
        <v>0</v>
      </c>
      <c r="E19" s="482">
        <v>0</v>
      </c>
      <c r="F19" s="482"/>
      <c r="G19" s="483">
        <v>5640000</v>
      </c>
      <c r="H19" s="484"/>
      <c r="I19" s="485">
        <v>483297.15999999992</v>
      </c>
      <c r="J19" s="485">
        <v>486205.78</v>
      </c>
      <c r="K19" s="485">
        <v>473711.35</v>
      </c>
      <c r="L19" s="485">
        <v>0</v>
      </c>
      <c r="M19" s="485">
        <v>0</v>
      </c>
      <c r="N19" s="485">
        <v>0</v>
      </c>
      <c r="O19" s="485">
        <v>0</v>
      </c>
      <c r="P19" s="485">
        <v>0</v>
      </c>
      <c r="Q19" s="485">
        <v>0</v>
      </c>
      <c r="R19" s="485">
        <v>0</v>
      </c>
      <c r="S19" s="485">
        <v>0</v>
      </c>
      <c r="T19" s="485">
        <v>0</v>
      </c>
      <c r="U19" s="482">
        <f t="shared" si="1"/>
        <v>1443214.29</v>
      </c>
      <c r="V19" s="486"/>
      <c r="W19" s="487"/>
      <c r="X19" s="488"/>
      <c r="Y19" s="489"/>
      <c r="Z19" s="490"/>
      <c r="AA19" s="491"/>
      <c r="AB19" s="492"/>
      <c r="AC19" s="492"/>
      <c r="AD19" s="492"/>
      <c r="AE19" s="492"/>
      <c r="AF19" s="492"/>
      <c r="AG19" s="492"/>
      <c r="AH19" s="492"/>
    </row>
    <row r="20" spans="1:34" s="156" customFormat="1" ht="40.15" customHeight="1" x14ac:dyDescent="0.5">
      <c r="A20" s="480" t="s">
        <v>380</v>
      </c>
      <c r="B20" s="493" t="s">
        <v>381</v>
      </c>
      <c r="C20" s="494">
        <v>0</v>
      </c>
      <c r="D20" s="494">
        <v>0</v>
      </c>
      <c r="E20" s="494">
        <v>0</v>
      </c>
      <c r="F20" s="494"/>
      <c r="G20" s="495">
        <v>-5639999.9999999991</v>
      </c>
      <c r="H20" s="496"/>
      <c r="I20" s="497">
        <v>-483297.15999999992</v>
      </c>
      <c r="J20" s="497">
        <v>-486205.78</v>
      </c>
      <c r="K20" s="497">
        <v>-473711.35</v>
      </c>
      <c r="L20" s="497">
        <v>0</v>
      </c>
      <c r="M20" s="497">
        <v>0</v>
      </c>
      <c r="N20" s="497">
        <v>0</v>
      </c>
      <c r="O20" s="497">
        <v>0</v>
      </c>
      <c r="P20" s="497">
        <v>0</v>
      </c>
      <c r="Q20" s="497">
        <v>0</v>
      </c>
      <c r="R20" s="497">
        <v>0</v>
      </c>
      <c r="S20" s="497">
        <v>0</v>
      </c>
      <c r="T20" s="497">
        <v>0</v>
      </c>
      <c r="U20" s="494">
        <f t="shared" si="1"/>
        <v>-1443214.29</v>
      </c>
      <c r="V20" s="498"/>
      <c r="W20" s="499"/>
      <c r="X20" s="500"/>
      <c r="Y20" s="501"/>
      <c r="Z20" s="502"/>
      <c r="AA20" s="491"/>
      <c r="AB20" s="492"/>
      <c r="AC20" s="492"/>
      <c r="AD20" s="492"/>
      <c r="AE20" s="492"/>
      <c r="AF20" s="492"/>
      <c r="AG20" s="492"/>
      <c r="AH20" s="492"/>
    </row>
    <row r="21" spans="1:34" s="156" customFormat="1" ht="40.15" customHeight="1" x14ac:dyDescent="0.5">
      <c r="A21" s="480"/>
      <c r="B21" s="503" t="s">
        <v>90</v>
      </c>
      <c r="C21" s="482">
        <v>0</v>
      </c>
      <c r="D21" s="482">
        <v>0</v>
      </c>
      <c r="E21" s="482">
        <v>0</v>
      </c>
      <c r="F21" s="482"/>
      <c r="G21" s="483">
        <v>0</v>
      </c>
      <c r="H21" s="484"/>
      <c r="I21" s="485">
        <v>0</v>
      </c>
      <c r="J21" s="485">
        <v>0</v>
      </c>
      <c r="K21" s="485">
        <v>0</v>
      </c>
      <c r="L21" s="485">
        <v>0</v>
      </c>
      <c r="M21" s="485">
        <v>0</v>
      </c>
      <c r="N21" s="485">
        <v>0</v>
      </c>
      <c r="O21" s="485">
        <v>0</v>
      </c>
      <c r="P21" s="485">
        <v>0</v>
      </c>
      <c r="Q21" s="485">
        <v>0</v>
      </c>
      <c r="R21" s="485">
        <v>0</v>
      </c>
      <c r="S21" s="485">
        <v>0</v>
      </c>
      <c r="T21" s="485">
        <v>0</v>
      </c>
      <c r="U21" s="482">
        <f t="shared" si="1"/>
        <v>0</v>
      </c>
      <c r="V21" s="486"/>
      <c r="W21" s="487"/>
      <c r="X21" s="488"/>
      <c r="Y21" s="489"/>
      <c r="Z21" s="490"/>
      <c r="AA21" s="491"/>
      <c r="AB21" s="492"/>
      <c r="AC21" s="492"/>
      <c r="AD21" s="492"/>
      <c r="AE21" s="492"/>
      <c r="AF21" s="492"/>
      <c r="AG21" s="492"/>
      <c r="AH21" s="492"/>
    </row>
    <row r="22" spans="1:34" s="479" customFormat="1" ht="72.75" customHeight="1" thickBot="1" x14ac:dyDescent="0.55000000000000004">
      <c r="A22" s="466"/>
      <c r="B22" s="510" t="s">
        <v>382</v>
      </c>
      <c r="C22" s="511">
        <v>47392821</v>
      </c>
      <c r="D22" s="511">
        <v>48889189.999999978</v>
      </c>
      <c r="E22" s="511">
        <v>48889189.999999978</v>
      </c>
      <c r="F22" s="511">
        <v>0</v>
      </c>
      <c r="G22" s="512">
        <v>50600312.99999997</v>
      </c>
      <c r="H22" s="513"/>
      <c r="I22" s="514">
        <v>3416682</v>
      </c>
      <c r="J22" s="514">
        <v>3335168</v>
      </c>
      <c r="K22" s="514">
        <v>4254260</v>
      </c>
      <c r="L22" s="514">
        <v>0</v>
      </c>
      <c r="M22" s="514">
        <v>0</v>
      </c>
      <c r="N22" s="514">
        <v>0</v>
      </c>
      <c r="O22" s="514">
        <v>0</v>
      </c>
      <c r="P22" s="514">
        <v>0</v>
      </c>
      <c r="Q22" s="514">
        <v>0</v>
      </c>
      <c r="R22" s="514">
        <v>0</v>
      </c>
      <c r="S22" s="514">
        <v>0</v>
      </c>
      <c r="T22" s="514">
        <v>0</v>
      </c>
      <c r="U22" s="511">
        <f t="shared" si="1"/>
        <v>11006110</v>
      </c>
      <c r="V22" s="515"/>
      <c r="W22" s="473"/>
      <c r="X22" s="474"/>
      <c r="Y22" s="475"/>
      <c r="Z22" s="476"/>
      <c r="AA22" s="477"/>
      <c r="AB22" s="478"/>
      <c r="AC22" s="478"/>
      <c r="AD22" s="478"/>
      <c r="AE22" s="478"/>
      <c r="AF22" s="478"/>
      <c r="AG22" s="478"/>
      <c r="AH22" s="478"/>
    </row>
    <row r="23" spans="1:34" s="156" customFormat="1" ht="40.15" customHeight="1" thickBot="1" x14ac:dyDescent="0.55000000000000004">
      <c r="A23" s="480"/>
      <c r="B23" s="783" t="s">
        <v>383</v>
      </c>
      <c r="C23" s="783"/>
      <c r="D23" s="783"/>
      <c r="E23" s="783"/>
      <c r="F23" s="783"/>
      <c r="G23" s="783"/>
      <c r="H23" s="516"/>
      <c r="I23" s="784" t="s">
        <v>383</v>
      </c>
      <c r="J23" s="784"/>
      <c r="K23" s="784"/>
      <c r="L23" s="784"/>
      <c r="M23" s="784"/>
      <c r="N23" s="785"/>
      <c r="O23" s="786" t="s">
        <v>383</v>
      </c>
      <c r="P23" s="784"/>
      <c r="Q23" s="784"/>
      <c r="R23" s="784"/>
      <c r="S23" s="784"/>
      <c r="T23" s="785"/>
      <c r="U23" s="517"/>
      <c r="V23" s="517"/>
      <c r="W23" s="487"/>
      <c r="X23" s="488"/>
      <c r="Y23" s="489"/>
      <c r="Z23" s="490"/>
      <c r="AA23" s="491"/>
      <c r="AB23" s="492"/>
      <c r="AC23" s="492"/>
      <c r="AD23" s="492"/>
      <c r="AE23" s="492"/>
      <c r="AF23" s="492"/>
      <c r="AG23" s="492"/>
      <c r="AH23" s="492"/>
    </row>
    <row r="24" spans="1:34" s="529" customFormat="1" ht="40.15" customHeight="1" x14ac:dyDescent="0.5">
      <c r="A24" s="518"/>
      <c r="B24" s="519" t="s">
        <v>168</v>
      </c>
      <c r="C24" s="520"/>
      <c r="D24" s="520"/>
      <c r="E24" s="520"/>
      <c r="F24" s="520"/>
      <c r="G24" s="520"/>
      <c r="H24" s="521"/>
      <c r="I24" s="522"/>
      <c r="J24" s="522"/>
      <c r="K24" s="522"/>
      <c r="L24" s="522"/>
      <c r="M24" s="522"/>
      <c r="N24" s="522"/>
      <c r="O24" s="522"/>
      <c r="P24" s="522"/>
      <c r="Q24" s="522"/>
      <c r="R24" s="522"/>
      <c r="S24" s="522"/>
      <c r="T24" s="522"/>
      <c r="U24" s="522"/>
      <c r="V24" s="523"/>
      <c r="W24" s="524"/>
      <c r="X24" s="525"/>
      <c r="Y24" s="526"/>
      <c r="Z24" s="527"/>
      <c r="AA24" s="528"/>
      <c r="AB24" s="447"/>
      <c r="AC24" s="447"/>
      <c r="AD24" s="447"/>
      <c r="AE24" s="447"/>
      <c r="AF24" s="447"/>
      <c r="AG24" s="447"/>
      <c r="AH24" s="447"/>
    </row>
    <row r="25" spans="1:34" s="479" customFormat="1" ht="40.15" customHeight="1" x14ac:dyDescent="0.5">
      <c r="A25" s="466" t="s">
        <v>384</v>
      </c>
      <c r="B25" s="530" t="s">
        <v>375</v>
      </c>
      <c r="C25" s="531">
        <v>47368125</v>
      </c>
      <c r="D25" s="531">
        <v>44936662.999999978</v>
      </c>
      <c r="E25" s="531">
        <v>44936662.999999978</v>
      </c>
      <c r="F25" s="531"/>
      <c r="G25" s="532">
        <v>49241878.999999993</v>
      </c>
      <c r="H25" s="533"/>
      <c r="I25" s="534">
        <v>3498448</v>
      </c>
      <c r="J25" s="535">
        <v>3370683</v>
      </c>
      <c r="K25" s="535">
        <v>3474129</v>
      </c>
      <c r="L25" s="535">
        <v>0</v>
      </c>
      <c r="M25" s="535">
        <v>0</v>
      </c>
      <c r="N25" s="535">
        <v>0</v>
      </c>
      <c r="O25" s="535">
        <v>0</v>
      </c>
      <c r="P25" s="535">
        <v>0</v>
      </c>
      <c r="Q25" s="535">
        <v>0</v>
      </c>
      <c r="R25" s="535">
        <v>0</v>
      </c>
      <c r="S25" s="535">
        <v>0</v>
      </c>
      <c r="T25" s="535">
        <v>0</v>
      </c>
      <c r="U25" s="535">
        <f>SUM(I25:T25)</f>
        <v>10343260</v>
      </c>
      <c r="V25" s="531"/>
      <c r="W25" s="473"/>
      <c r="X25" s="474"/>
      <c r="Y25" s="475"/>
      <c r="Z25" s="476"/>
      <c r="AA25" s="477"/>
      <c r="AB25" s="478"/>
      <c r="AC25" s="536">
        <f>+U25/U14</f>
        <v>0.42613921601336779</v>
      </c>
      <c r="AD25" s="478"/>
      <c r="AE25" s="478"/>
      <c r="AF25" s="478"/>
      <c r="AG25" s="478"/>
      <c r="AH25" s="478"/>
    </row>
    <row r="26" spans="1:34" s="156" customFormat="1" ht="72.75" customHeight="1" x14ac:dyDescent="0.5">
      <c r="A26" s="480" t="s">
        <v>385</v>
      </c>
      <c r="B26" s="481" t="s">
        <v>376</v>
      </c>
      <c r="C26" s="482">
        <v>-31299780.999999996</v>
      </c>
      <c r="D26" s="482">
        <v>-27703415.999999996</v>
      </c>
      <c r="E26" s="482">
        <v>-27703415.999999996</v>
      </c>
      <c r="F26" s="482"/>
      <c r="G26" s="483">
        <v>-32325181.000000019</v>
      </c>
      <c r="H26" s="484"/>
      <c r="I26" s="485">
        <v>-2297741</v>
      </c>
      <c r="J26" s="485">
        <v>-2213826</v>
      </c>
      <c r="K26" s="485">
        <v>-2281769</v>
      </c>
      <c r="L26" s="485">
        <v>0</v>
      </c>
      <c r="M26" s="485">
        <v>0</v>
      </c>
      <c r="N26" s="485">
        <v>0</v>
      </c>
      <c r="O26" s="485">
        <v>0</v>
      </c>
      <c r="P26" s="485">
        <v>0</v>
      </c>
      <c r="Q26" s="485">
        <v>0</v>
      </c>
      <c r="R26" s="485">
        <v>0</v>
      </c>
      <c r="S26" s="485">
        <v>0</v>
      </c>
      <c r="T26" s="485">
        <v>0</v>
      </c>
      <c r="U26" s="485">
        <f>SUM(I26:T26)</f>
        <v>-6793336</v>
      </c>
      <c r="V26" s="482"/>
      <c r="W26" s="487"/>
      <c r="X26" s="488"/>
      <c r="Y26" s="489"/>
      <c r="Z26" s="490"/>
      <c r="AA26" s="491"/>
      <c r="AB26" s="492"/>
      <c r="AC26" s="537"/>
      <c r="AD26" s="492"/>
      <c r="AE26" s="492"/>
      <c r="AF26" s="492"/>
      <c r="AG26" s="492"/>
      <c r="AH26" s="492"/>
    </row>
    <row r="27" spans="1:34" s="156" customFormat="1" ht="40.15" customHeight="1" x14ac:dyDescent="0.5">
      <c r="A27" s="480" t="s">
        <v>386</v>
      </c>
      <c r="B27" s="538" t="s">
        <v>132</v>
      </c>
      <c r="C27" s="539">
        <v>0</v>
      </c>
      <c r="D27" s="539">
        <v>0</v>
      </c>
      <c r="E27" s="539">
        <v>0</v>
      </c>
      <c r="F27" s="539"/>
      <c r="G27" s="540">
        <v>0</v>
      </c>
      <c r="H27" s="541"/>
      <c r="I27" s="542">
        <v>0</v>
      </c>
      <c r="J27" s="542">
        <v>0</v>
      </c>
      <c r="K27" s="542">
        <v>0</v>
      </c>
      <c r="L27" s="542">
        <v>0</v>
      </c>
      <c r="M27" s="542">
        <v>0</v>
      </c>
      <c r="N27" s="542">
        <v>0</v>
      </c>
      <c r="O27" s="542">
        <v>0</v>
      </c>
      <c r="P27" s="542">
        <v>0</v>
      </c>
      <c r="Q27" s="542">
        <v>0</v>
      </c>
      <c r="R27" s="542">
        <v>0</v>
      </c>
      <c r="S27" s="542">
        <v>0</v>
      </c>
      <c r="T27" s="542">
        <v>0</v>
      </c>
      <c r="U27" s="542">
        <v>0</v>
      </c>
      <c r="V27" s="539"/>
      <c r="W27" s="499"/>
      <c r="X27" s="500"/>
      <c r="Y27" s="501"/>
      <c r="Z27" s="502"/>
      <c r="AA27" s="491"/>
      <c r="AB27" s="492"/>
      <c r="AC27" s="492"/>
      <c r="AD27" s="492"/>
      <c r="AE27" s="492"/>
      <c r="AF27" s="492"/>
      <c r="AG27" s="492"/>
      <c r="AH27" s="492"/>
    </row>
    <row r="28" spans="1:34" s="156" customFormat="1" ht="39.75" customHeight="1" x14ac:dyDescent="0.5">
      <c r="A28" s="480" t="s">
        <v>387</v>
      </c>
      <c r="B28" s="503" t="s">
        <v>378</v>
      </c>
      <c r="C28" s="482">
        <v>0</v>
      </c>
      <c r="D28" s="482">
        <v>0</v>
      </c>
      <c r="E28" s="482">
        <v>0</v>
      </c>
      <c r="F28" s="482">
        <v>0</v>
      </c>
      <c r="G28" s="483">
        <v>0</v>
      </c>
      <c r="H28" s="484"/>
      <c r="I28" s="485">
        <v>0</v>
      </c>
      <c r="J28" s="485">
        <v>0</v>
      </c>
      <c r="K28" s="485">
        <v>0</v>
      </c>
      <c r="L28" s="485">
        <v>0</v>
      </c>
      <c r="M28" s="485">
        <v>0</v>
      </c>
      <c r="N28" s="485">
        <v>0</v>
      </c>
      <c r="O28" s="485">
        <v>0</v>
      </c>
      <c r="P28" s="485">
        <v>0</v>
      </c>
      <c r="Q28" s="485">
        <v>0</v>
      </c>
      <c r="R28" s="485">
        <v>0</v>
      </c>
      <c r="S28" s="485">
        <v>0</v>
      </c>
      <c r="T28" s="485">
        <v>0</v>
      </c>
      <c r="U28" s="485">
        <v>0</v>
      </c>
      <c r="V28" s="482"/>
      <c r="W28" s="487"/>
      <c r="X28" s="488"/>
      <c r="Y28" s="489"/>
      <c r="Z28" s="490"/>
      <c r="AA28" s="491"/>
      <c r="AB28" s="492"/>
      <c r="AC28" s="492"/>
      <c r="AD28" s="492"/>
      <c r="AE28" s="492"/>
      <c r="AF28" s="492"/>
      <c r="AG28" s="492"/>
      <c r="AH28" s="492"/>
    </row>
    <row r="29" spans="1:34" s="479" customFormat="1" ht="40.15" customHeight="1" x14ac:dyDescent="0.5">
      <c r="A29" s="466" t="s">
        <v>388</v>
      </c>
      <c r="B29" s="530" t="s">
        <v>379</v>
      </c>
      <c r="C29" s="531">
        <v>16068343.999999994</v>
      </c>
      <c r="D29" s="531">
        <v>17233246.999999993</v>
      </c>
      <c r="E29" s="531">
        <v>17233246.999999993</v>
      </c>
      <c r="F29" s="531">
        <f>SUM(F25:F28)</f>
        <v>0</v>
      </c>
      <c r="G29" s="532">
        <v>16916697.999999985</v>
      </c>
      <c r="H29" s="533"/>
      <c r="I29" s="535">
        <f>SUM(I25:I28)</f>
        <v>1200707</v>
      </c>
      <c r="J29" s="535">
        <f t="shared" ref="J29:U29" si="2">SUM(J25:J28)</f>
        <v>1156857</v>
      </c>
      <c r="K29" s="535">
        <f t="shared" si="2"/>
        <v>1192360</v>
      </c>
      <c r="L29" s="535">
        <f t="shared" si="2"/>
        <v>0</v>
      </c>
      <c r="M29" s="535">
        <f t="shared" si="2"/>
        <v>0</v>
      </c>
      <c r="N29" s="535">
        <f t="shared" si="2"/>
        <v>0</v>
      </c>
      <c r="O29" s="535">
        <f t="shared" si="2"/>
        <v>0</v>
      </c>
      <c r="P29" s="535">
        <f t="shared" si="2"/>
        <v>0</v>
      </c>
      <c r="Q29" s="535">
        <f t="shared" si="2"/>
        <v>0</v>
      </c>
      <c r="R29" s="535">
        <f t="shared" si="2"/>
        <v>0</v>
      </c>
      <c r="S29" s="535">
        <f t="shared" si="2"/>
        <v>0</v>
      </c>
      <c r="T29" s="535">
        <f t="shared" si="2"/>
        <v>0</v>
      </c>
      <c r="U29" s="535">
        <f t="shared" si="2"/>
        <v>3549924</v>
      </c>
      <c r="V29" s="531"/>
      <c r="W29" s="473"/>
      <c r="X29" s="474"/>
      <c r="Y29" s="475"/>
      <c r="Z29" s="476"/>
      <c r="AA29" s="477"/>
      <c r="AB29" s="478"/>
      <c r="AC29" s="543">
        <f>+U29/U25</f>
        <v>0.34321132795656301</v>
      </c>
      <c r="AD29" s="478"/>
      <c r="AE29" s="478"/>
      <c r="AF29" s="478"/>
      <c r="AG29" s="478"/>
      <c r="AH29" s="478"/>
    </row>
    <row r="30" spans="1:34" s="156" customFormat="1" ht="40.15" customHeight="1" x14ac:dyDescent="0.5">
      <c r="A30" s="480" t="s">
        <v>389</v>
      </c>
      <c r="B30" s="503" t="s">
        <v>60</v>
      </c>
      <c r="C30" s="482">
        <v>0</v>
      </c>
      <c r="D30" s="482">
        <v>0</v>
      </c>
      <c r="E30" s="482">
        <v>0</v>
      </c>
      <c r="F30" s="482">
        <v>0</v>
      </c>
      <c r="G30" s="483">
        <v>0</v>
      </c>
      <c r="H30" s="484"/>
      <c r="I30" s="485">
        <v>0</v>
      </c>
      <c r="J30" s="485">
        <v>0</v>
      </c>
      <c r="K30" s="485">
        <v>0</v>
      </c>
      <c r="L30" s="485">
        <v>0</v>
      </c>
      <c r="M30" s="485">
        <v>0</v>
      </c>
      <c r="N30" s="485">
        <v>0</v>
      </c>
      <c r="O30" s="485">
        <v>0</v>
      </c>
      <c r="P30" s="485">
        <v>0</v>
      </c>
      <c r="Q30" s="485">
        <v>0</v>
      </c>
      <c r="R30" s="485">
        <v>0</v>
      </c>
      <c r="S30" s="485">
        <v>0</v>
      </c>
      <c r="T30" s="485">
        <v>0</v>
      </c>
      <c r="U30" s="485">
        <v>0</v>
      </c>
      <c r="V30" s="482"/>
      <c r="W30" s="487"/>
      <c r="X30" s="488"/>
      <c r="Y30" s="489"/>
      <c r="Z30" s="490"/>
      <c r="AA30" s="491"/>
      <c r="AB30" s="492"/>
      <c r="AC30" s="492"/>
      <c r="AD30" s="492"/>
      <c r="AE30" s="492"/>
      <c r="AF30" s="492"/>
      <c r="AG30" s="492"/>
      <c r="AH30" s="492"/>
    </row>
    <row r="31" spans="1:34" s="156" customFormat="1" ht="40.15" customHeight="1" x14ac:dyDescent="0.5">
      <c r="A31" s="480" t="s">
        <v>390</v>
      </c>
      <c r="B31" s="538" t="s">
        <v>381</v>
      </c>
      <c r="C31" s="539">
        <v>0</v>
      </c>
      <c r="D31" s="539">
        <v>0</v>
      </c>
      <c r="E31" s="539">
        <v>0</v>
      </c>
      <c r="F31" s="539">
        <v>0</v>
      </c>
      <c r="G31" s="540">
        <v>0</v>
      </c>
      <c r="H31" s="541"/>
      <c r="I31" s="542">
        <v>0</v>
      </c>
      <c r="J31" s="542">
        <v>0</v>
      </c>
      <c r="K31" s="542">
        <v>0</v>
      </c>
      <c r="L31" s="542">
        <v>0</v>
      </c>
      <c r="M31" s="542">
        <v>0</v>
      </c>
      <c r="N31" s="542">
        <v>0</v>
      </c>
      <c r="O31" s="542">
        <v>0</v>
      </c>
      <c r="P31" s="542">
        <v>0</v>
      </c>
      <c r="Q31" s="542">
        <v>0</v>
      </c>
      <c r="R31" s="542">
        <v>0</v>
      </c>
      <c r="S31" s="542">
        <v>0</v>
      </c>
      <c r="T31" s="542">
        <v>0</v>
      </c>
      <c r="U31" s="542">
        <v>0</v>
      </c>
      <c r="V31" s="539"/>
      <c r="W31" s="499"/>
      <c r="X31" s="500"/>
      <c r="Y31" s="501"/>
      <c r="Z31" s="502"/>
      <c r="AA31" s="491"/>
      <c r="AB31" s="492"/>
      <c r="AC31" s="492"/>
      <c r="AD31" s="492"/>
      <c r="AE31" s="492"/>
      <c r="AF31" s="492"/>
      <c r="AG31" s="492"/>
      <c r="AH31" s="492"/>
    </row>
    <row r="32" spans="1:34" s="156" customFormat="1" ht="40.15" customHeight="1" x14ac:dyDescent="0.5">
      <c r="A32" s="480" t="s">
        <v>391</v>
      </c>
      <c r="B32" s="503" t="s">
        <v>90</v>
      </c>
      <c r="C32" s="482">
        <v>0</v>
      </c>
      <c r="D32" s="482">
        <v>0</v>
      </c>
      <c r="E32" s="482">
        <v>0</v>
      </c>
      <c r="F32" s="482">
        <v>0</v>
      </c>
      <c r="G32" s="483">
        <v>0</v>
      </c>
      <c r="H32" s="484"/>
      <c r="I32" s="485">
        <v>0</v>
      </c>
      <c r="J32" s="485">
        <v>0</v>
      </c>
      <c r="K32" s="485">
        <v>0</v>
      </c>
      <c r="L32" s="485">
        <v>0</v>
      </c>
      <c r="M32" s="485">
        <v>0</v>
      </c>
      <c r="N32" s="485">
        <v>0</v>
      </c>
      <c r="O32" s="485">
        <v>0</v>
      </c>
      <c r="P32" s="485">
        <v>0</v>
      </c>
      <c r="Q32" s="485">
        <v>0</v>
      </c>
      <c r="R32" s="485">
        <v>0</v>
      </c>
      <c r="S32" s="485">
        <v>0</v>
      </c>
      <c r="T32" s="485">
        <v>0</v>
      </c>
      <c r="U32" s="485">
        <v>0</v>
      </c>
      <c r="V32" s="482"/>
      <c r="W32" s="487"/>
      <c r="X32" s="488"/>
      <c r="Y32" s="489"/>
      <c r="Z32" s="490"/>
      <c r="AA32" s="491"/>
      <c r="AB32" s="492"/>
      <c r="AC32" s="492"/>
      <c r="AD32" s="492"/>
      <c r="AE32" s="492"/>
      <c r="AF32" s="492"/>
      <c r="AG32" s="492"/>
      <c r="AH32" s="492"/>
    </row>
    <row r="33" spans="1:34" s="479" customFormat="1" ht="66.75" customHeight="1" thickBot="1" x14ac:dyDescent="0.55000000000000004">
      <c r="A33" s="466" t="s">
        <v>392</v>
      </c>
      <c r="B33" s="544" t="s">
        <v>382</v>
      </c>
      <c r="C33" s="545">
        <v>16068343.999999994</v>
      </c>
      <c r="D33" s="545">
        <v>17233246.999999993</v>
      </c>
      <c r="E33" s="545">
        <v>17233246.999999993</v>
      </c>
      <c r="F33" s="545">
        <v>0</v>
      </c>
      <c r="G33" s="546">
        <v>16916697.999999985</v>
      </c>
      <c r="H33" s="547"/>
      <c r="I33" s="548">
        <f>SUM(I29:I32)</f>
        <v>1200707</v>
      </c>
      <c r="J33" s="548">
        <f t="shared" ref="J33:U33" si="3">SUM(J29:J32)</f>
        <v>1156857</v>
      </c>
      <c r="K33" s="548">
        <f t="shared" si="3"/>
        <v>1192360</v>
      </c>
      <c r="L33" s="548">
        <f t="shared" si="3"/>
        <v>0</v>
      </c>
      <c r="M33" s="548">
        <f t="shared" si="3"/>
        <v>0</v>
      </c>
      <c r="N33" s="548">
        <f t="shared" si="3"/>
        <v>0</v>
      </c>
      <c r="O33" s="548">
        <f t="shared" si="3"/>
        <v>0</v>
      </c>
      <c r="P33" s="548">
        <f t="shared" si="3"/>
        <v>0</v>
      </c>
      <c r="Q33" s="548">
        <f t="shared" si="3"/>
        <v>0</v>
      </c>
      <c r="R33" s="548">
        <f t="shared" si="3"/>
        <v>0</v>
      </c>
      <c r="S33" s="548">
        <f t="shared" si="3"/>
        <v>0</v>
      </c>
      <c r="T33" s="548">
        <f t="shared" si="3"/>
        <v>0</v>
      </c>
      <c r="U33" s="548">
        <f t="shared" si="3"/>
        <v>3549924</v>
      </c>
      <c r="V33" s="548">
        <f>SUM(V29:V32)</f>
        <v>0</v>
      </c>
      <c r="W33" s="473"/>
      <c r="X33" s="474"/>
      <c r="Y33" s="475"/>
      <c r="Z33" s="476"/>
      <c r="AA33" s="477"/>
      <c r="AB33" s="478"/>
      <c r="AC33" s="478"/>
      <c r="AD33" s="478"/>
      <c r="AE33" s="478"/>
      <c r="AF33" s="478"/>
      <c r="AG33" s="478"/>
      <c r="AH33" s="478"/>
    </row>
    <row r="34" spans="1:34" s="156" customFormat="1" ht="23.25" customHeight="1" thickBot="1" x14ac:dyDescent="0.55000000000000004">
      <c r="A34" s="480"/>
      <c r="B34" s="549"/>
      <c r="C34" s="550"/>
      <c r="D34" s="550"/>
      <c r="E34" s="550"/>
      <c r="F34" s="550"/>
      <c r="G34" s="550"/>
      <c r="H34" s="516"/>
      <c r="I34" s="517"/>
      <c r="J34" s="517"/>
      <c r="K34" s="517"/>
      <c r="L34" s="517"/>
      <c r="M34" s="517"/>
      <c r="N34" s="517"/>
      <c r="O34" s="517"/>
      <c r="P34" s="517"/>
      <c r="Q34" s="517"/>
      <c r="R34" s="517"/>
      <c r="S34" s="517"/>
      <c r="T34" s="517"/>
      <c r="U34" s="517"/>
      <c r="V34" s="517"/>
      <c r="W34" s="487"/>
      <c r="X34" s="488"/>
      <c r="Y34" s="489"/>
      <c r="Z34" s="490"/>
      <c r="AA34" s="491"/>
      <c r="AB34" s="492"/>
      <c r="AC34" s="492"/>
      <c r="AD34" s="492"/>
      <c r="AE34" s="492"/>
      <c r="AF34" s="492"/>
      <c r="AG34" s="492"/>
      <c r="AH34" s="492"/>
    </row>
    <row r="35" spans="1:34" s="529" customFormat="1" ht="40.15" customHeight="1" x14ac:dyDescent="0.5">
      <c r="A35" s="518"/>
      <c r="B35" s="551" t="s">
        <v>167</v>
      </c>
      <c r="C35" s="552"/>
      <c r="D35" s="552"/>
      <c r="E35" s="552"/>
      <c r="F35" s="552"/>
      <c r="G35" s="552"/>
      <c r="H35" s="553"/>
      <c r="I35" s="554"/>
      <c r="J35" s="554"/>
      <c r="K35" s="554"/>
      <c r="L35" s="554"/>
      <c r="M35" s="554"/>
      <c r="N35" s="554"/>
      <c r="O35" s="554"/>
      <c r="P35" s="554"/>
      <c r="Q35" s="554"/>
      <c r="R35" s="554"/>
      <c r="S35" s="554"/>
      <c r="T35" s="554"/>
      <c r="U35" s="554"/>
      <c r="V35" s="555"/>
      <c r="W35" s="524"/>
      <c r="X35" s="525"/>
      <c r="Y35" s="526"/>
      <c r="Z35" s="527"/>
      <c r="AA35" s="528"/>
      <c r="AB35" s="447"/>
      <c r="AC35" s="447"/>
      <c r="AD35" s="447"/>
      <c r="AE35" s="447"/>
      <c r="AF35" s="447"/>
      <c r="AG35" s="447"/>
      <c r="AH35" s="447"/>
    </row>
    <row r="36" spans="1:34" s="479" customFormat="1" ht="40.15" customHeight="1" x14ac:dyDescent="0.5">
      <c r="A36" s="466" t="s">
        <v>393</v>
      </c>
      <c r="B36" s="556" t="s">
        <v>375</v>
      </c>
      <c r="C36" s="557">
        <v>21697661</v>
      </c>
      <c r="D36" s="557">
        <v>21512733.000000004</v>
      </c>
      <c r="E36" s="557">
        <v>21512733.000000004</v>
      </c>
      <c r="F36" s="557"/>
      <c r="G36" s="558">
        <v>19662716</v>
      </c>
      <c r="H36" s="559"/>
      <c r="I36" s="557">
        <v>1339674</v>
      </c>
      <c r="J36" s="557">
        <v>1290749</v>
      </c>
      <c r="K36" s="557">
        <v>1330362</v>
      </c>
      <c r="L36" s="557">
        <v>0</v>
      </c>
      <c r="M36" s="557">
        <v>0</v>
      </c>
      <c r="N36" s="557">
        <v>0</v>
      </c>
      <c r="O36" s="557">
        <v>0</v>
      </c>
      <c r="P36" s="557">
        <v>0</v>
      </c>
      <c r="Q36" s="557">
        <v>0</v>
      </c>
      <c r="R36" s="557">
        <v>0</v>
      </c>
      <c r="S36" s="557">
        <v>0</v>
      </c>
      <c r="T36" s="557">
        <v>0</v>
      </c>
      <c r="U36" s="557">
        <f>SUM(I36:T36)</f>
        <v>3960785</v>
      </c>
      <c r="V36" s="560"/>
      <c r="W36" s="473"/>
      <c r="X36" s="474"/>
      <c r="Y36" s="475"/>
      <c r="Z36" s="476"/>
      <c r="AA36" s="477"/>
      <c r="AB36" s="478"/>
      <c r="AC36" s="478"/>
      <c r="AD36" s="478"/>
      <c r="AE36" s="478"/>
      <c r="AF36" s="478"/>
      <c r="AG36" s="478"/>
      <c r="AH36" s="478"/>
    </row>
    <row r="37" spans="1:34" s="156" customFormat="1" ht="72.75" customHeight="1" x14ac:dyDescent="0.5">
      <c r="A37" s="480" t="s">
        <v>394</v>
      </c>
      <c r="B37" s="481" t="s">
        <v>376</v>
      </c>
      <c r="C37" s="482">
        <v>-15324601.000000002</v>
      </c>
      <c r="D37" s="482">
        <v>-12711027</v>
      </c>
      <c r="E37" s="482">
        <v>-12711027</v>
      </c>
      <c r="F37" s="482"/>
      <c r="G37" s="483">
        <v>-13274821.999999998</v>
      </c>
      <c r="H37" s="484"/>
      <c r="I37" s="482">
        <v>-974626</v>
      </c>
      <c r="J37" s="482">
        <v>-939032</v>
      </c>
      <c r="K37" s="482">
        <v>-967851</v>
      </c>
      <c r="L37" s="482">
        <v>0</v>
      </c>
      <c r="M37" s="482">
        <v>0</v>
      </c>
      <c r="N37" s="482">
        <v>0</v>
      </c>
      <c r="O37" s="482">
        <v>0</v>
      </c>
      <c r="P37" s="482">
        <v>0</v>
      </c>
      <c r="Q37" s="482">
        <v>0</v>
      </c>
      <c r="R37" s="482">
        <v>0</v>
      </c>
      <c r="S37" s="482">
        <v>0</v>
      </c>
      <c r="T37" s="482">
        <v>0</v>
      </c>
      <c r="U37" s="482">
        <f>SUM(I37:T37)</f>
        <v>-2881509</v>
      </c>
      <c r="V37" s="561"/>
      <c r="W37" s="487"/>
      <c r="X37" s="488"/>
      <c r="Y37" s="489"/>
      <c r="Z37" s="490"/>
      <c r="AA37" s="491"/>
      <c r="AB37" s="492"/>
      <c r="AC37" s="492"/>
      <c r="AD37" s="492"/>
      <c r="AE37" s="492"/>
      <c r="AF37" s="492"/>
      <c r="AG37" s="492"/>
      <c r="AH37" s="492"/>
    </row>
    <row r="38" spans="1:34" s="156" customFormat="1" ht="40.15" customHeight="1" x14ac:dyDescent="0.5">
      <c r="A38" s="480" t="s">
        <v>395</v>
      </c>
      <c r="B38" s="562" t="s">
        <v>132</v>
      </c>
      <c r="C38" s="563">
        <v>0</v>
      </c>
      <c r="D38" s="563">
        <v>0</v>
      </c>
      <c r="E38" s="563">
        <v>0</v>
      </c>
      <c r="F38" s="563"/>
      <c r="G38" s="564">
        <v>0</v>
      </c>
      <c r="H38" s="565"/>
      <c r="I38" s="563">
        <v>68657</v>
      </c>
      <c r="J38" s="563">
        <v>68657</v>
      </c>
      <c r="K38" s="563">
        <v>68657</v>
      </c>
      <c r="L38" s="563">
        <v>0</v>
      </c>
      <c r="M38" s="563">
        <v>0</v>
      </c>
      <c r="N38" s="563">
        <v>0</v>
      </c>
      <c r="O38" s="563">
        <v>0</v>
      </c>
      <c r="P38" s="563">
        <v>0</v>
      </c>
      <c r="Q38" s="563">
        <v>0</v>
      </c>
      <c r="R38" s="563">
        <v>0</v>
      </c>
      <c r="S38" s="563">
        <v>0</v>
      </c>
      <c r="T38" s="563">
        <v>0</v>
      </c>
      <c r="U38" s="563">
        <f>SUM(I38:K38)</f>
        <v>205971</v>
      </c>
      <c r="V38" s="566"/>
      <c r="W38" s="499"/>
      <c r="X38" s="500"/>
      <c r="Y38" s="501"/>
      <c r="Z38" s="502"/>
      <c r="AA38" s="491"/>
      <c r="AB38" s="492"/>
      <c r="AC38" s="492"/>
      <c r="AD38" s="492"/>
      <c r="AE38" s="492"/>
      <c r="AF38" s="492"/>
      <c r="AG38" s="492"/>
      <c r="AH38" s="492"/>
    </row>
    <row r="39" spans="1:34" s="156" customFormat="1" ht="39.75" customHeight="1" x14ac:dyDescent="0.5">
      <c r="A39" s="480" t="s">
        <v>396</v>
      </c>
      <c r="B39" s="503" t="s">
        <v>378</v>
      </c>
      <c r="C39" s="482">
        <v>0</v>
      </c>
      <c r="D39" s="482">
        <v>0</v>
      </c>
      <c r="E39" s="482">
        <v>0</v>
      </c>
      <c r="F39" s="482"/>
      <c r="G39" s="483">
        <v>0</v>
      </c>
      <c r="H39" s="484"/>
      <c r="I39" s="482">
        <v>0</v>
      </c>
      <c r="J39" s="482">
        <v>0</v>
      </c>
      <c r="K39" s="482">
        <v>0</v>
      </c>
      <c r="L39" s="482">
        <v>0</v>
      </c>
      <c r="M39" s="482">
        <v>0</v>
      </c>
      <c r="N39" s="482">
        <v>0</v>
      </c>
      <c r="O39" s="482">
        <v>0</v>
      </c>
      <c r="P39" s="482">
        <v>0</v>
      </c>
      <c r="Q39" s="482">
        <v>0</v>
      </c>
      <c r="R39" s="482">
        <v>0</v>
      </c>
      <c r="S39" s="482">
        <v>0</v>
      </c>
      <c r="T39" s="482">
        <v>0</v>
      </c>
      <c r="U39" s="482">
        <v>0</v>
      </c>
      <c r="V39" s="561"/>
      <c r="W39" s="487"/>
      <c r="X39" s="488"/>
      <c r="Y39" s="489"/>
      <c r="Z39" s="490"/>
      <c r="AA39" s="491"/>
      <c r="AB39" s="492"/>
      <c r="AC39" s="492"/>
      <c r="AD39" s="492"/>
      <c r="AE39" s="492"/>
      <c r="AF39" s="492"/>
      <c r="AG39" s="492"/>
      <c r="AH39" s="492"/>
    </row>
    <row r="40" spans="1:34" s="479" customFormat="1" ht="40.15" customHeight="1" x14ac:dyDescent="0.5">
      <c r="A40" s="466" t="s">
        <v>397</v>
      </c>
      <c r="B40" s="556" t="s">
        <v>379</v>
      </c>
      <c r="C40" s="557">
        <v>6373059.9999999991</v>
      </c>
      <c r="D40" s="557">
        <v>8801706.0000000037</v>
      </c>
      <c r="E40" s="557">
        <v>8801706.0000000037</v>
      </c>
      <c r="F40" s="557">
        <f>SUM(F36:F39)</f>
        <v>0</v>
      </c>
      <c r="G40" s="558">
        <v>6387893.9999999963</v>
      </c>
      <c r="H40" s="559"/>
      <c r="I40" s="557">
        <f>SUM(I36:I39)</f>
        <v>433705</v>
      </c>
      <c r="J40" s="557">
        <f t="shared" ref="J40:U40" si="4">SUM(J36:J39)</f>
        <v>420374</v>
      </c>
      <c r="K40" s="557">
        <f t="shared" si="4"/>
        <v>431168</v>
      </c>
      <c r="L40" s="557">
        <f t="shared" si="4"/>
        <v>0</v>
      </c>
      <c r="M40" s="557">
        <f t="shared" si="4"/>
        <v>0</v>
      </c>
      <c r="N40" s="557">
        <f t="shared" si="4"/>
        <v>0</v>
      </c>
      <c r="O40" s="557">
        <f t="shared" si="4"/>
        <v>0</v>
      </c>
      <c r="P40" s="557">
        <f t="shared" si="4"/>
        <v>0</v>
      </c>
      <c r="Q40" s="557">
        <f t="shared" si="4"/>
        <v>0</v>
      </c>
      <c r="R40" s="557">
        <f t="shared" si="4"/>
        <v>0</v>
      </c>
      <c r="S40" s="557">
        <f t="shared" si="4"/>
        <v>0</v>
      </c>
      <c r="T40" s="557">
        <f t="shared" si="4"/>
        <v>0</v>
      </c>
      <c r="U40" s="557">
        <f t="shared" si="4"/>
        <v>1285247</v>
      </c>
      <c r="V40" s="560"/>
      <c r="W40" s="473"/>
      <c r="X40" s="474"/>
      <c r="Y40" s="475"/>
      <c r="Z40" s="476"/>
      <c r="AA40" s="477"/>
      <c r="AB40" s="478"/>
      <c r="AC40" s="478"/>
      <c r="AD40" s="478"/>
      <c r="AE40" s="478"/>
      <c r="AF40" s="478"/>
      <c r="AG40" s="478"/>
      <c r="AH40" s="478"/>
    </row>
    <row r="41" spans="1:34" s="156" customFormat="1" ht="40.15" customHeight="1" x14ac:dyDescent="0.5">
      <c r="A41" s="480" t="s">
        <v>398</v>
      </c>
      <c r="B41" s="503" t="s">
        <v>60</v>
      </c>
      <c r="C41" s="482">
        <v>0</v>
      </c>
      <c r="D41" s="482">
        <v>0</v>
      </c>
      <c r="E41" s="482">
        <v>0</v>
      </c>
      <c r="F41" s="482"/>
      <c r="G41" s="483">
        <v>5640000</v>
      </c>
      <c r="H41" s="484"/>
      <c r="I41" s="482">
        <v>0</v>
      </c>
      <c r="J41" s="482">
        <v>0</v>
      </c>
      <c r="K41" s="482">
        <v>0</v>
      </c>
      <c r="L41" s="482">
        <v>0</v>
      </c>
      <c r="M41" s="482">
        <v>0</v>
      </c>
      <c r="N41" s="482">
        <v>0</v>
      </c>
      <c r="O41" s="482">
        <v>0</v>
      </c>
      <c r="P41" s="482">
        <v>0</v>
      </c>
      <c r="Q41" s="482">
        <v>0</v>
      </c>
      <c r="R41" s="482">
        <v>0</v>
      </c>
      <c r="S41" s="482">
        <v>0</v>
      </c>
      <c r="T41" s="482">
        <v>0</v>
      </c>
      <c r="U41" s="482">
        <v>0</v>
      </c>
      <c r="V41" s="561"/>
      <c r="W41" s="487"/>
      <c r="X41" s="488"/>
      <c r="Y41" s="489"/>
      <c r="Z41" s="490"/>
      <c r="AA41" s="491"/>
      <c r="AB41" s="492"/>
      <c r="AC41" s="492"/>
      <c r="AD41" s="492"/>
      <c r="AE41" s="492"/>
      <c r="AF41" s="492"/>
      <c r="AG41" s="492"/>
      <c r="AH41" s="492"/>
    </row>
    <row r="42" spans="1:34" s="156" customFormat="1" ht="40.15" customHeight="1" x14ac:dyDescent="0.5">
      <c r="A42" s="480" t="s">
        <v>399</v>
      </c>
      <c r="B42" s="562" t="s">
        <v>381</v>
      </c>
      <c r="C42" s="563">
        <v>0</v>
      </c>
      <c r="D42" s="563">
        <v>0</v>
      </c>
      <c r="E42" s="563">
        <v>0</v>
      </c>
      <c r="F42" s="563"/>
      <c r="G42" s="564">
        <v>-5639999.9999999991</v>
      </c>
      <c r="H42" s="565"/>
      <c r="I42" s="563">
        <v>0</v>
      </c>
      <c r="J42" s="563">
        <v>0</v>
      </c>
      <c r="K42" s="563">
        <v>0</v>
      </c>
      <c r="L42" s="563">
        <v>0</v>
      </c>
      <c r="M42" s="563">
        <v>0</v>
      </c>
      <c r="N42" s="563">
        <v>0</v>
      </c>
      <c r="O42" s="563">
        <v>0</v>
      </c>
      <c r="P42" s="563">
        <v>0</v>
      </c>
      <c r="Q42" s="563">
        <v>0</v>
      </c>
      <c r="R42" s="563">
        <v>0</v>
      </c>
      <c r="S42" s="563">
        <v>0</v>
      </c>
      <c r="T42" s="563">
        <v>0</v>
      </c>
      <c r="U42" s="563">
        <v>0</v>
      </c>
      <c r="V42" s="566"/>
      <c r="W42" s="499"/>
      <c r="X42" s="500"/>
      <c r="Y42" s="501"/>
      <c r="Z42" s="502"/>
      <c r="AA42" s="491"/>
      <c r="AB42" s="492"/>
      <c r="AC42" s="492"/>
      <c r="AD42" s="492"/>
      <c r="AE42" s="492"/>
      <c r="AF42" s="492"/>
      <c r="AG42" s="492"/>
      <c r="AH42" s="492"/>
    </row>
    <row r="43" spans="1:34" s="156" customFormat="1" ht="40.15" customHeight="1" x14ac:dyDescent="0.5">
      <c r="A43" s="480" t="s">
        <v>400</v>
      </c>
      <c r="B43" s="503" t="s">
        <v>90</v>
      </c>
      <c r="C43" s="482">
        <v>0</v>
      </c>
      <c r="D43" s="482">
        <v>0</v>
      </c>
      <c r="E43" s="482">
        <v>0</v>
      </c>
      <c r="F43" s="482">
        <v>0</v>
      </c>
      <c r="G43" s="483">
        <v>0</v>
      </c>
      <c r="H43" s="484"/>
      <c r="I43" s="482">
        <v>0</v>
      </c>
      <c r="J43" s="482">
        <v>0</v>
      </c>
      <c r="K43" s="482">
        <v>0</v>
      </c>
      <c r="L43" s="482">
        <v>0</v>
      </c>
      <c r="M43" s="482">
        <v>0</v>
      </c>
      <c r="N43" s="482">
        <v>0</v>
      </c>
      <c r="O43" s="482">
        <v>0</v>
      </c>
      <c r="P43" s="482">
        <v>0</v>
      </c>
      <c r="Q43" s="482">
        <v>0</v>
      </c>
      <c r="R43" s="482">
        <v>0</v>
      </c>
      <c r="S43" s="482">
        <v>0</v>
      </c>
      <c r="T43" s="482">
        <v>0</v>
      </c>
      <c r="U43" s="482">
        <v>0</v>
      </c>
      <c r="V43" s="561"/>
      <c r="W43" s="487"/>
      <c r="X43" s="488"/>
      <c r="Y43" s="489"/>
      <c r="Z43" s="490"/>
      <c r="AA43" s="491"/>
      <c r="AB43" s="492"/>
      <c r="AC43" s="492"/>
      <c r="AD43" s="492"/>
      <c r="AE43" s="492"/>
      <c r="AF43" s="492"/>
      <c r="AG43" s="492"/>
      <c r="AH43" s="492"/>
    </row>
    <row r="44" spans="1:34" s="479" customFormat="1" ht="69.75" customHeight="1" thickBot="1" x14ac:dyDescent="0.55000000000000004">
      <c r="A44" s="466" t="s">
        <v>401</v>
      </c>
      <c r="B44" s="567" t="s">
        <v>382</v>
      </c>
      <c r="C44" s="568">
        <v>6373059.9999999991</v>
      </c>
      <c r="D44" s="569">
        <v>8801706.0000000037</v>
      </c>
      <c r="E44" s="569">
        <v>8801706.0000000037</v>
      </c>
      <c r="F44" s="569">
        <v>0</v>
      </c>
      <c r="G44" s="570">
        <v>6387894.0000000009</v>
      </c>
      <c r="H44" s="571"/>
      <c r="I44" s="572">
        <f>SUM(I40:I43)</f>
        <v>433705</v>
      </c>
      <c r="J44" s="572">
        <f t="shared" ref="J44:U44" si="5">SUM(J40:J43)</f>
        <v>420374</v>
      </c>
      <c r="K44" s="572">
        <f t="shared" si="5"/>
        <v>431168</v>
      </c>
      <c r="L44" s="572">
        <f t="shared" si="5"/>
        <v>0</v>
      </c>
      <c r="M44" s="572">
        <f t="shared" si="5"/>
        <v>0</v>
      </c>
      <c r="N44" s="572">
        <f t="shared" si="5"/>
        <v>0</v>
      </c>
      <c r="O44" s="572">
        <f t="shared" si="5"/>
        <v>0</v>
      </c>
      <c r="P44" s="572">
        <f t="shared" si="5"/>
        <v>0</v>
      </c>
      <c r="Q44" s="572">
        <f t="shared" si="5"/>
        <v>0</v>
      </c>
      <c r="R44" s="572">
        <f t="shared" si="5"/>
        <v>0</v>
      </c>
      <c r="S44" s="572">
        <f t="shared" si="5"/>
        <v>0</v>
      </c>
      <c r="T44" s="572">
        <f t="shared" si="5"/>
        <v>0</v>
      </c>
      <c r="U44" s="572">
        <f t="shared" si="5"/>
        <v>1285247</v>
      </c>
      <c r="V44" s="572">
        <f>SUM(V40:V43)</f>
        <v>0</v>
      </c>
      <c r="W44" s="473"/>
      <c r="X44" s="474"/>
      <c r="Y44" s="475"/>
      <c r="Z44" s="476"/>
      <c r="AA44" s="477"/>
      <c r="AB44" s="478"/>
      <c r="AC44" s="478"/>
      <c r="AD44" s="478"/>
      <c r="AE44" s="478"/>
      <c r="AF44" s="478"/>
      <c r="AG44" s="478"/>
      <c r="AH44" s="478"/>
    </row>
    <row r="45" spans="1:34" s="156" customFormat="1" ht="24.75" customHeight="1" thickBot="1" x14ac:dyDescent="0.55000000000000004">
      <c r="A45" s="480"/>
      <c r="B45" s="549"/>
      <c r="C45" s="550"/>
      <c r="D45" s="550"/>
      <c r="E45" s="550"/>
      <c r="F45" s="550"/>
      <c r="G45" s="550"/>
      <c r="H45" s="516"/>
      <c r="I45" s="517"/>
      <c r="J45" s="517"/>
      <c r="K45" s="517"/>
      <c r="L45" s="517"/>
      <c r="M45" s="517"/>
      <c r="N45" s="517"/>
      <c r="O45" s="517"/>
      <c r="P45" s="517"/>
      <c r="Q45" s="517"/>
      <c r="R45" s="517"/>
      <c r="S45" s="517"/>
      <c r="T45" s="517"/>
      <c r="U45" s="517"/>
      <c r="V45" s="517"/>
      <c r="W45" s="487"/>
      <c r="X45" s="488"/>
      <c r="Y45" s="489"/>
      <c r="Z45" s="490"/>
      <c r="AA45" s="491"/>
      <c r="AB45" s="492"/>
      <c r="AC45" s="492"/>
      <c r="AD45" s="492"/>
      <c r="AE45" s="492"/>
      <c r="AF45" s="492"/>
      <c r="AG45" s="492"/>
      <c r="AH45" s="492"/>
    </row>
    <row r="46" spans="1:34" s="529" customFormat="1" ht="40.15" customHeight="1" x14ac:dyDescent="0.5">
      <c r="A46" s="518"/>
      <c r="B46" s="573" t="s">
        <v>200</v>
      </c>
      <c r="C46" s="574"/>
      <c r="D46" s="574"/>
      <c r="E46" s="574"/>
      <c r="F46" s="574"/>
      <c r="G46" s="574"/>
      <c r="H46" s="575"/>
      <c r="I46" s="576"/>
      <c r="J46" s="576"/>
      <c r="K46" s="576"/>
      <c r="L46" s="576"/>
      <c r="M46" s="576"/>
      <c r="N46" s="576"/>
      <c r="O46" s="576"/>
      <c r="P46" s="576"/>
      <c r="Q46" s="576"/>
      <c r="R46" s="576"/>
      <c r="S46" s="576"/>
      <c r="T46" s="576"/>
      <c r="U46" s="576"/>
      <c r="V46" s="577"/>
      <c r="W46" s="524"/>
      <c r="X46" s="525"/>
      <c r="Y46" s="526"/>
      <c r="Z46" s="527"/>
      <c r="AA46" s="528"/>
      <c r="AB46" s="447"/>
      <c r="AC46" s="447"/>
      <c r="AD46" s="447"/>
      <c r="AE46" s="447"/>
      <c r="AF46" s="447"/>
      <c r="AG46" s="447"/>
      <c r="AH46" s="447"/>
    </row>
    <row r="47" spans="1:34" s="479" customFormat="1" ht="40.15" customHeight="1" x14ac:dyDescent="0.5">
      <c r="A47" s="466" t="s">
        <v>384</v>
      </c>
      <c r="B47" s="578" t="s">
        <v>375</v>
      </c>
      <c r="C47" s="579">
        <v>41146947.000000007</v>
      </c>
      <c r="D47" s="579">
        <v>40430468.999999993</v>
      </c>
      <c r="E47" s="579">
        <v>40430468.999999993</v>
      </c>
      <c r="F47" s="579"/>
      <c r="G47" s="580">
        <v>41168060</v>
      </c>
      <c r="H47" s="581"/>
      <c r="I47" s="579">
        <v>3117516</v>
      </c>
      <c r="J47" s="579">
        <v>3003663</v>
      </c>
      <c r="K47" s="579">
        <v>3095846</v>
      </c>
      <c r="L47" s="579">
        <v>0</v>
      </c>
      <c r="M47" s="579">
        <v>0</v>
      </c>
      <c r="N47" s="579">
        <v>0</v>
      </c>
      <c r="O47" s="579">
        <v>0</v>
      </c>
      <c r="P47" s="579">
        <v>0</v>
      </c>
      <c r="Q47" s="579">
        <v>0</v>
      </c>
      <c r="R47" s="579">
        <v>0</v>
      </c>
      <c r="S47" s="579">
        <v>0</v>
      </c>
      <c r="T47" s="579">
        <v>0</v>
      </c>
      <c r="U47" s="579">
        <f>SUM(I47:T47)</f>
        <v>9217025</v>
      </c>
      <c r="V47" s="582"/>
      <c r="W47" s="473"/>
      <c r="X47" s="474"/>
      <c r="Y47" s="475"/>
      <c r="Z47" s="476"/>
      <c r="AA47" s="477"/>
      <c r="AB47" s="478"/>
      <c r="AC47" s="478"/>
      <c r="AD47" s="478"/>
      <c r="AE47" s="478"/>
      <c r="AF47" s="478"/>
      <c r="AG47" s="478"/>
      <c r="AH47" s="478"/>
    </row>
    <row r="48" spans="1:34" s="156" customFormat="1" ht="72.75" customHeight="1" x14ac:dyDescent="0.5">
      <c r="A48" s="480" t="s">
        <v>385</v>
      </c>
      <c r="B48" s="481" t="s">
        <v>376</v>
      </c>
      <c r="C48" s="482">
        <v>-17214583.000000004</v>
      </c>
      <c r="D48" s="482">
        <v>-18476362.000000004</v>
      </c>
      <c r="E48" s="482">
        <v>-18476362.000000004</v>
      </c>
      <c r="F48" s="482"/>
      <c r="G48" s="483">
        <v>-14881266.000000002</v>
      </c>
      <c r="H48" s="484"/>
      <c r="I48" s="482">
        <v>-1132311</v>
      </c>
      <c r="J48" s="482">
        <v>-1090958</v>
      </c>
      <c r="K48" s="482">
        <v>-1124440</v>
      </c>
      <c r="L48" s="482">
        <v>0</v>
      </c>
      <c r="M48" s="482">
        <v>0</v>
      </c>
      <c r="N48" s="482">
        <v>0</v>
      </c>
      <c r="O48" s="482">
        <v>0</v>
      </c>
      <c r="P48" s="482">
        <v>0</v>
      </c>
      <c r="Q48" s="482">
        <v>0</v>
      </c>
      <c r="R48" s="482">
        <v>0</v>
      </c>
      <c r="S48" s="482">
        <v>0</v>
      </c>
      <c r="T48" s="482">
        <v>0</v>
      </c>
      <c r="U48" s="482">
        <f>SUM(I48:T48)</f>
        <v>-3347709</v>
      </c>
      <c r="V48" s="486"/>
      <c r="W48" s="487"/>
      <c r="X48" s="488"/>
      <c r="Y48" s="489"/>
      <c r="Z48" s="490"/>
      <c r="AA48" s="491"/>
      <c r="AB48" s="492"/>
      <c r="AC48" s="492"/>
      <c r="AD48" s="492"/>
      <c r="AE48" s="492"/>
      <c r="AF48" s="492"/>
      <c r="AG48" s="492"/>
      <c r="AH48" s="492"/>
    </row>
    <row r="49" spans="1:34" s="156" customFormat="1" ht="40.15" customHeight="1" x14ac:dyDescent="0.5">
      <c r="A49" s="480" t="s">
        <v>386</v>
      </c>
      <c r="B49" s="583" t="s">
        <v>132</v>
      </c>
      <c r="C49" s="584">
        <v>0</v>
      </c>
      <c r="D49" s="584">
        <v>0</v>
      </c>
      <c r="E49" s="584">
        <v>0</v>
      </c>
      <c r="F49" s="584">
        <v>0</v>
      </c>
      <c r="G49" s="585">
        <v>0</v>
      </c>
      <c r="H49" s="586"/>
      <c r="I49" s="584">
        <v>0</v>
      </c>
      <c r="J49" s="584">
        <v>0</v>
      </c>
      <c r="K49" s="584">
        <v>0</v>
      </c>
      <c r="L49" s="584">
        <v>0</v>
      </c>
      <c r="M49" s="584">
        <v>0</v>
      </c>
      <c r="N49" s="584">
        <v>0</v>
      </c>
      <c r="O49" s="584">
        <v>0</v>
      </c>
      <c r="P49" s="584">
        <v>0</v>
      </c>
      <c r="Q49" s="584">
        <v>0</v>
      </c>
      <c r="R49" s="584">
        <v>0</v>
      </c>
      <c r="S49" s="584">
        <v>0</v>
      </c>
      <c r="T49" s="584">
        <v>0</v>
      </c>
      <c r="U49" s="584">
        <v>0</v>
      </c>
      <c r="V49" s="587"/>
      <c r="W49" s="499"/>
      <c r="X49" s="500"/>
      <c r="Y49" s="501"/>
      <c r="Z49" s="502"/>
      <c r="AA49" s="491"/>
      <c r="AB49" s="492"/>
      <c r="AC49" s="492"/>
      <c r="AD49" s="492"/>
      <c r="AE49" s="492"/>
      <c r="AF49" s="492"/>
      <c r="AG49" s="492"/>
      <c r="AH49" s="492"/>
    </row>
    <row r="50" spans="1:34" s="156" customFormat="1" ht="39.75" customHeight="1" x14ac:dyDescent="0.5">
      <c r="A50" s="480" t="s">
        <v>387</v>
      </c>
      <c r="B50" s="503" t="s">
        <v>378</v>
      </c>
      <c r="C50" s="482">
        <v>0</v>
      </c>
      <c r="D50" s="482">
        <v>0</v>
      </c>
      <c r="E50" s="482">
        <v>0</v>
      </c>
      <c r="F50" s="482">
        <v>0</v>
      </c>
      <c r="G50" s="483">
        <v>0</v>
      </c>
      <c r="H50" s="484"/>
      <c r="I50" s="482">
        <v>0</v>
      </c>
      <c r="J50" s="482">
        <v>0</v>
      </c>
      <c r="K50" s="482">
        <v>0</v>
      </c>
      <c r="L50" s="482">
        <v>0</v>
      </c>
      <c r="M50" s="482">
        <v>0</v>
      </c>
      <c r="N50" s="482">
        <v>0</v>
      </c>
      <c r="O50" s="482">
        <v>0</v>
      </c>
      <c r="P50" s="482">
        <v>0</v>
      </c>
      <c r="Q50" s="482">
        <v>0</v>
      </c>
      <c r="R50" s="482">
        <v>0</v>
      </c>
      <c r="S50" s="482">
        <v>0</v>
      </c>
      <c r="T50" s="482">
        <v>0</v>
      </c>
      <c r="U50" s="482">
        <v>0</v>
      </c>
      <c r="V50" s="486"/>
      <c r="W50" s="487"/>
      <c r="X50" s="488"/>
      <c r="Y50" s="489"/>
      <c r="Z50" s="490"/>
      <c r="AA50" s="491"/>
      <c r="AB50" s="492"/>
      <c r="AC50" s="492"/>
      <c r="AD50" s="492"/>
      <c r="AE50" s="492"/>
      <c r="AF50" s="492"/>
      <c r="AG50" s="492"/>
      <c r="AH50" s="492"/>
    </row>
    <row r="51" spans="1:34" s="479" customFormat="1" ht="40.15" customHeight="1" x14ac:dyDescent="0.5">
      <c r="A51" s="466" t="s">
        <v>388</v>
      </c>
      <c r="B51" s="578" t="s">
        <v>379</v>
      </c>
      <c r="C51" s="579">
        <v>23932364.000000004</v>
      </c>
      <c r="D51" s="579">
        <v>21954106.999999993</v>
      </c>
      <c r="E51" s="579">
        <v>21954106.999999993</v>
      </c>
      <c r="F51" s="579">
        <f>SUM(F47:F50)</f>
        <v>0</v>
      </c>
      <c r="G51" s="580">
        <v>26286793.999999989</v>
      </c>
      <c r="H51" s="581"/>
      <c r="I51" s="579">
        <f>SUM(I47:I50)</f>
        <v>1985205</v>
      </c>
      <c r="J51" s="579">
        <f t="shared" ref="J51:U51" si="6">SUM(J47:J50)</f>
        <v>1912705</v>
      </c>
      <c r="K51" s="579">
        <f t="shared" si="6"/>
        <v>1971406</v>
      </c>
      <c r="L51" s="579">
        <f t="shared" si="6"/>
        <v>0</v>
      </c>
      <c r="M51" s="579">
        <f t="shared" si="6"/>
        <v>0</v>
      </c>
      <c r="N51" s="579">
        <f t="shared" si="6"/>
        <v>0</v>
      </c>
      <c r="O51" s="579">
        <f t="shared" si="6"/>
        <v>0</v>
      </c>
      <c r="P51" s="579">
        <f t="shared" si="6"/>
        <v>0</v>
      </c>
      <c r="Q51" s="579">
        <f t="shared" si="6"/>
        <v>0</v>
      </c>
      <c r="R51" s="579">
        <f t="shared" si="6"/>
        <v>0</v>
      </c>
      <c r="S51" s="579">
        <f t="shared" si="6"/>
        <v>0</v>
      </c>
      <c r="T51" s="579">
        <f t="shared" si="6"/>
        <v>0</v>
      </c>
      <c r="U51" s="579">
        <f t="shared" si="6"/>
        <v>5869316</v>
      </c>
      <c r="V51" s="582"/>
      <c r="W51" s="473"/>
      <c r="X51" s="474"/>
      <c r="Y51" s="475"/>
      <c r="Z51" s="476"/>
      <c r="AA51" s="477"/>
      <c r="AB51" s="478"/>
      <c r="AC51" s="478"/>
      <c r="AD51" s="478"/>
      <c r="AE51" s="478"/>
      <c r="AF51" s="478"/>
      <c r="AG51" s="478"/>
      <c r="AH51" s="478"/>
    </row>
    <row r="52" spans="1:34" s="156" customFormat="1" ht="40.15" customHeight="1" x14ac:dyDescent="0.5">
      <c r="A52" s="480" t="s">
        <v>389</v>
      </c>
      <c r="B52" s="503" t="s">
        <v>60</v>
      </c>
      <c r="C52" s="482">
        <v>0</v>
      </c>
      <c r="D52" s="482">
        <v>0</v>
      </c>
      <c r="E52" s="482">
        <v>0</v>
      </c>
      <c r="F52" s="482">
        <v>0</v>
      </c>
      <c r="G52" s="483">
        <v>0</v>
      </c>
      <c r="H52" s="484"/>
      <c r="I52" s="482">
        <v>0</v>
      </c>
      <c r="J52" s="482">
        <v>0</v>
      </c>
      <c r="K52" s="482">
        <v>0</v>
      </c>
      <c r="L52" s="482">
        <v>0</v>
      </c>
      <c r="M52" s="482">
        <v>0</v>
      </c>
      <c r="N52" s="482">
        <v>0</v>
      </c>
      <c r="O52" s="482">
        <v>0</v>
      </c>
      <c r="P52" s="482">
        <v>0</v>
      </c>
      <c r="Q52" s="482">
        <v>0</v>
      </c>
      <c r="R52" s="482">
        <v>0</v>
      </c>
      <c r="S52" s="482">
        <v>0</v>
      </c>
      <c r="T52" s="482">
        <v>0</v>
      </c>
      <c r="U52" s="482">
        <v>0</v>
      </c>
      <c r="V52" s="486"/>
      <c r="W52" s="487"/>
      <c r="X52" s="488"/>
      <c r="Y52" s="489"/>
      <c r="Z52" s="490"/>
      <c r="AA52" s="491"/>
      <c r="AB52" s="492"/>
      <c r="AC52" s="492"/>
      <c r="AD52" s="492"/>
      <c r="AE52" s="492"/>
      <c r="AF52" s="492"/>
      <c r="AG52" s="492"/>
      <c r="AH52" s="492"/>
    </row>
    <row r="53" spans="1:34" s="156" customFormat="1" ht="40.15" customHeight="1" x14ac:dyDescent="0.5">
      <c r="A53" s="480" t="s">
        <v>390</v>
      </c>
      <c r="B53" s="583" t="s">
        <v>381</v>
      </c>
      <c r="C53" s="584">
        <v>0</v>
      </c>
      <c r="D53" s="584">
        <v>0</v>
      </c>
      <c r="E53" s="584">
        <v>0</v>
      </c>
      <c r="F53" s="584">
        <v>0</v>
      </c>
      <c r="G53" s="585">
        <v>0</v>
      </c>
      <c r="H53" s="586"/>
      <c r="I53" s="584">
        <v>0</v>
      </c>
      <c r="J53" s="584">
        <v>0</v>
      </c>
      <c r="K53" s="584">
        <v>0</v>
      </c>
      <c r="L53" s="584">
        <v>0</v>
      </c>
      <c r="M53" s="584">
        <v>0</v>
      </c>
      <c r="N53" s="584">
        <v>0</v>
      </c>
      <c r="O53" s="584">
        <v>0</v>
      </c>
      <c r="P53" s="584">
        <v>0</v>
      </c>
      <c r="Q53" s="584">
        <v>0</v>
      </c>
      <c r="R53" s="584">
        <v>0</v>
      </c>
      <c r="S53" s="584">
        <v>0</v>
      </c>
      <c r="T53" s="584">
        <v>0</v>
      </c>
      <c r="U53" s="584">
        <v>0</v>
      </c>
      <c r="V53" s="587"/>
      <c r="W53" s="499"/>
      <c r="X53" s="500"/>
      <c r="Y53" s="501"/>
      <c r="Z53" s="502"/>
      <c r="AA53" s="491"/>
      <c r="AB53" s="492"/>
      <c r="AC53" s="492"/>
      <c r="AD53" s="492"/>
      <c r="AE53" s="492"/>
      <c r="AF53" s="492"/>
      <c r="AG53" s="492"/>
      <c r="AH53" s="492"/>
    </row>
    <row r="54" spans="1:34" s="156" customFormat="1" ht="40.15" customHeight="1" x14ac:dyDescent="0.5">
      <c r="A54" s="480" t="s">
        <v>391</v>
      </c>
      <c r="B54" s="503" t="s">
        <v>90</v>
      </c>
      <c r="C54" s="482">
        <v>0</v>
      </c>
      <c r="D54" s="482">
        <v>0</v>
      </c>
      <c r="E54" s="482">
        <v>0</v>
      </c>
      <c r="F54" s="482">
        <v>0</v>
      </c>
      <c r="G54" s="483">
        <v>0</v>
      </c>
      <c r="H54" s="484"/>
      <c r="I54" s="482">
        <v>0</v>
      </c>
      <c r="J54" s="482">
        <v>0</v>
      </c>
      <c r="K54" s="482">
        <v>0</v>
      </c>
      <c r="L54" s="482">
        <v>0</v>
      </c>
      <c r="M54" s="482">
        <v>0</v>
      </c>
      <c r="N54" s="482">
        <v>0</v>
      </c>
      <c r="O54" s="482">
        <v>0</v>
      </c>
      <c r="P54" s="482">
        <v>0</v>
      </c>
      <c r="Q54" s="482">
        <v>0</v>
      </c>
      <c r="R54" s="482">
        <v>0</v>
      </c>
      <c r="S54" s="482">
        <v>0</v>
      </c>
      <c r="T54" s="482">
        <v>0</v>
      </c>
      <c r="U54" s="482">
        <v>0</v>
      </c>
      <c r="V54" s="486"/>
      <c r="W54" s="487"/>
      <c r="X54" s="488"/>
      <c r="Y54" s="489"/>
      <c r="Z54" s="490"/>
      <c r="AA54" s="491"/>
      <c r="AB54" s="492"/>
      <c r="AC54" s="492"/>
      <c r="AD54" s="492"/>
      <c r="AE54" s="492"/>
      <c r="AF54" s="492"/>
      <c r="AG54" s="492"/>
      <c r="AH54" s="492"/>
    </row>
    <row r="55" spans="1:34" s="479" customFormat="1" ht="71.25" customHeight="1" thickBot="1" x14ac:dyDescent="0.55000000000000004">
      <c r="A55" s="466" t="s">
        <v>392</v>
      </c>
      <c r="B55" s="588" t="s">
        <v>382</v>
      </c>
      <c r="C55" s="589">
        <v>23932364.000000004</v>
      </c>
      <c r="D55" s="589">
        <v>21954106.999999993</v>
      </c>
      <c r="E55" s="589">
        <v>21954106.999999993</v>
      </c>
      <c r="F55" s="589">
        <v>0</v>
      </c>
      <c r="G55" s="590">
        <v>26286793.999999989</v>
      </c>
      <c r="H55" s="591"/>
      <c r="I55" s="592">
        <f>SUM(I51:I54)</f>
        <v>1985205</v>
      </c>
      <c r="J55" s="592">
        <f t="shared" ref="J55:U55" si="7">SUM(J51:J54)</f>
        <v>1912705</v>
      </c>
      <c r="K55" s="592">
        <f t="shared" si="7"/>
        <v>1971406</v>
      </c>
      <c r="L55" s="592">
        <f t="shared" si="7"/>
        <v>0</v>
      </c>
      <c r="M55" s="592">
        <f t="shared" si="7"/>
        <v>0</v>
      </c>
      <c r="N55" s="592">
        <f t="shared" si="7"/>
        <v>0</v>
      </c>
      <c r="O55" s="592">
        <f t="shared" si="7"/>
        <v>0</v>
      </c>
      <c r="P55" s="592">
        <f t="shared" si="7"/>
        <v>0</v>
      </c>
      <c r="Q55" s="592">
        <f t="shared" si="7"/>
        <v>0</v>
      </c>
      <c r="R55" s="592">
        <f t="shared" si="7"/>
        <v>0</v>
      </c>
      <c r="S55" s="592">
        <f t="shared" si="7"/>
        <v>0</v>
      </c>
      <c r="T55" s="592">
        <f t="shared" si="7"/>
        <v>0</v>
      </c>
      <c r="U55" s="592">
        <f t="shared" si="7"/>
        <v>5869316</v>
      </c>
      <c r="V55" s="592">
        <f>SUM(V51:V54)</f>
        <v>0</v>
      </c>
      <c r="W55" s="473"/>
      <c r="X55" s="474"/>
      <c r="Y55" s="475"/>
      <c r="Z55" s="476"/>
      <c r="AA55" s="477"/>
      <c r="AB55" s="478"/>
      <c r="AC55" s="478"/>
      <c r="AD55" s="478"/>
      <c r="AE55" s="478"/>
      <c r="AF55" s="478"/>
      <c r="AG55" s="478"/>
      <c r="AH55" s="478"/>
    </row>
    <row r="56" spans="1:34" s="156" customFormat="1" ht="40.15" customHeight="1" thickBot="1" x14ac:dyDescent="0.55000000000000004">
      <c r="A56" s="480"/>
      <c r="B56" s="593"/>
      <c r="C56" s="594"/>
      <c r="D56" s="594"/>
      <c r="E56" s="594"/>
      <c r="F56" s="594"/>
      <c r="G56" s="595"/>
      <c r="H56" s="596"/>
      <c r="I56" s="597"/>
      <c r="J56" s="594"/>
      <c r="K56" s="594"/>
      <c r="L56" s="594"/>
      <c r="M56" s="594"/>
      <c r="N56" s="594"/>
      <c r="O56" s="594"/>
      <c r="P56" s="594"/>
      <c r="Q56" s="594"/>
      <c r="R56" s="594"/>
      <c r="S56" s="594"/>
      <c r="T56" s="594"/>
      <c r="U56" s="594"/>
      <c r="V56" s="594"/>
      <c r="W56" s="487"/>
      <c r="X56" s="488"/>
      <c r="Y56" s="489"/>
      <c r="Z56" s="490"/>
      <c r="AA56" s="491"/>
      <c r="AB56" s="492"/>
      <c r="AC56" s="492"/>
      <c r="AD56" s="492"/>
      <c r="AE56" s="492"/>
      <c r="AF56" s="492"/>
      <c r="AG56" s="492"/>
      <c r="AH56" s="492"/>
    </row>
    <row r="57" spans="1:34" s="156" customFormat="1" ht="40.15" customHeight="1" thickBot="1" x14ac:dyDescent="0.55000000000000004">
      <c r="A57" s="480" t="s">
        <v>377</v>
      </c>
      <c r="B57" s="598" t="s">
        <v>132</v>
      </c>
      <c r="C57" s="599">
        <v>1019053</v>
      </c>
      <c r="D57" s="599">
        <v>900129.99999999953</v>
      </c>
      <c r="E57" s="599">
        <v>900129.99999999953</v>
      </c>
      <c r="F57" s="599">
        <f>+F38</f>
        <v>0</v>
      </c>
      <c r="G57" s="600">
        <v>1008927</v>
      </c>
      <c r="H57" s="601"/>
      <c r="I57" s="602">
        <v>0</v>
      </c>
      <c r="J57" s="599">
        <v>0</v>
      </c>
      <c r="K57" s="599">
        <v>0</v>
      </c>
      <c r="L57" s="599">
        <v>0</v>
      </c>
      <c r="M57" s="599">
        <v>0</v>
      </c>
      <c r="N57" s="599">
        <v>0</v>
      </c>
      <c r="O57" s="599">
        <v>0</v>
      </c>
      <c r="P57" s="599">
        <v>0</v>
      </c>
      <c r="Q57" s="599">
        <v>0</v>
      </c>
      <c r="R57" s="599">
        <v>0</v>
      </c>
      <c r="S57" s="599">
        <v>0</v>
      </c>
      <c r="T57" s="599">
        <v>0</v>
      </c>
      <c r="U57" s="599">
        <f>SUM(I57:T57)</f>
        <v>0</v>
      </c>
      <c r="V57" s="603"/>
      <c r="W57" s="499"/>
      <c r="X57" s="500"/>
      <c r="Y57" s="501"/>
      <c r="Z57" s="502"/>
      <c r="AA57" s="491"/>
      <c r="AB57" s="492"/>
      <c r="AC57" s="492"/>
      <c r="AD57" s="492"/>
      <c r="AE57" s="492"/>
      <c r="AF57" s="492"/>
      <c r="AG57" s="492"/>
      <c r="AH57" s="492"/>
    </row>
    <row r="58" spans="1:34" s="608" customFormat="1" ht="40.15" customHeight="1" x14ac:dyDescent="0.5">
      <c r="A58" s="604"/>
      <c r="B58" s="605"/>
      <c r="C58" s="550"/>
      <c r="D58" s="550"/>
      <c r="E58" s="550"/>
      <c r="F58" s="550"/>
      <c r="G58" s="550"/>
      <c r="H58" s="550"/>
      <c r="I58" s="550"/>
      <c r="J58" s="550"/>
      <c r="K58" s="550"/>
      <c r="L58" s="550"/>
      <c r="M58" s="550"/>
      <c r="N58" s="550"/>
      <c r="O58" s="550"/>
      <c r="P58" s="550"/>
      <c r="Q58" s="550"/>
      <c r="R58" s="550"/>
      <c r="S58" s="550"/>
      <c r="T58" s="550"/>
      <c r="U58" s="550"/>
      <c r="V58" s="550"/>
      <c r="W58" s="487"/>
      <c r="X58" s="488"/>
      <c r="Y58" s="488"/>
      <c r="Z58" s="490"/>
      <c r="AA58" s="606"/>
      <c r="AB58" s="607"/>
      <c r="AC58" s="607"/>
      <c r="AD58" s="607"/>
      <c r="AE58" s="607"/>
      <c r="AF58" s="607"/>
      <c r="AG58" s="607"/>
      <c r="AH58" s="607"/>
    </row>
    <row r="59" spans="1:34" s="608" customFormat="1" ht="40.15" customHeight="1" x14ac:dyDescent="0.5">
      <c r="A59" s="604"/>
      <c r="B59" s="605"/>
      <c r="C59" s="550"/>
      <c r="D59" s="550"/>
      <c r="E59" s="550"/>
      <c r="F59" s="550"/>
      <c r="G59" s="550"/>
      <c r="H59" s="550"/>
      <c r="I59" s="550"/>
      <c r="J59" s="550"/>
      <c r="K59" s="550"/>
      <c r="L59" s="550"/>
      <c r="M59" s="550"/>
      <c r="N59" s="550"/>
      <c r="O59" s="550"/>
      <c r="P59" s="550"/>
      <c r="Q59" s="550"/>
      <c r="R59" s="550"/>
      <c r="S59" s="550"/>
      <c r="T59" s="550"/>
      <c r="U59" s="550"/>
      <c r="V59" s="550"/>
      <c r="W59" s="487"/>
      <c r="X59" s="488"/>
      <c r="Y59" s="488"/>
      <c r="Z59" s="490"/>
      <c r="AA59" s="606"/>
      <c r="AB59" s="607"/>
      <c r="AC59" s="607"/>
      <c r="AD59" s="607"/>
      <c r="AE59" s="607"/>
      <c r="AF59" s="607"/>
      <c r="AG59" s="607"/>
      <c r="AH59" s="607"/>
    </row>
    <row r="60" spans="1:34" s="608" customFormat="1" ht="40.15" customHeight="1" x14ac:dyDescent="0.5">
      <c r="A60" s="604"/>
      <c r="B60" s="605"/>
      <c r="C60" s="550"/>
      <c r="D60" s="550"/>
      <c r="E60" s="550"/>
      <c r="F60" s="550"/>
      <c r="G60" s="550"/>
      <c r="H60" s="550"/>
      <c r="I60" s="550"/>
      <c r="J60" s="550"/>
      <c r="K60" s="550"/>
      <c r="L60" s="550"/>
      <c r="M60" s="550"/>
      <c r="N60" s="550"/>
      <c r="O60" s="550"/>
      <c r="P60" s="550"/>
      <c r="Q60" s="550"/>
      <c r="R60" s="550"/>
      <c r="S60" s="550"/>
      <c r="T60" s="550"/>
      <c r="U60" s="550"/>
      <c r="V60" s="550"/>
      <c r="W60" s="487"/>
      <c r="X60" s="488"/>
      <c r="Y60" s="488"/>
      <c r="Z60" s="490"/>
      <c r="AA60" s="606"/>
      <c r="AB60" s="607"/>
      <c r="AC60" s="607"/>
      <c r="AD60" s="607"/>
      <c r="AE60" s="607"/>
      <c r="AF60" s="607"/>
      <c r="AG60" s="607"/>
      <c r="AH60" s="607"/>
    </row>
    <row r="61" spans="1:34" s="608" customFormat="1" ht="40.15" customHeight="1" x14ac:dyDescent="0.5">
      <c r="A61" s="604"/>
      <c r="B61" s="605"/>
      <c r="C61" s="550"/>
      <c r="D61" s="550"/>
      <c r="E61" s="550"/>
      <c r="F61" s="550"/>
      <c r="G61" s="550"/>
      <c r="H61" s="550"/>
      <c r="I61" s="550"/>
      <c r="J61" s="550"/>
      <c r="K61" s="550"/>
      <c r="L61" s="550"/>
      <c r="M61" s="550"/>
      <c r="N61" s="550"/>
      <c r="O61" s="550"/>
      <c r="P61" s="550"/>
      <c r="Q61" s="550"/>
      <c r="R61" s="550"/>
      <c r="S61" s="550"/>
      <c r="T61" s="550"/>
      <c r="U61" s="550"/>
      <c r="V61" s="550"/>
      <c r="W61" s="487"/>
      <c r="X61" s="488"/>
      <c r="Y61" s="488"/>
      <c r="Z61" s="490"/>
      <c r="AA61" s="606"/>
      <c r="AB61" s="607"/>
      <c r="AC61" s="607"/>
      <c r="AD61" s="607"/>
      <c r="AE61" s="607"/>
      <c r="AF61" s="607"/>
      <c r="AG61" s="607"/>
      <c r="AH61" s="607"/>
    </row>
    <row r="62" spans="1:34" s="608" customFormat="1" ht="40.15" customHeight="1" x14ac:dyDescent="0.5">
      <c r="A62" s="604"/>
      <c r="B62" s="605"/>
      <c r="C62" s="550"/>
      <c r="D62" s="550"/>
      <c r="E62" s="550"/>
      <c r="F62" s="550"/>
      <c r="G62" s="550"/>
      <c r="H62" s="550"/>
      <c r="I62" s="550"/>
      <c r="J62" s="550"/>
      <c r="K62" s="550"/>
      <c r="L62" s="550"/>
      <c r="M62" s="550"/>
      <c r="N62" s="550"/>
      <c r="O62" s="550"/>
      <c r="P62" s="550"/>
      <c r="Q62" s="550"/>
      <c r="R62" s="550"/>
      <c r="S62" s="550"/>
      <c r="T62" s="550"/>
      <c r="U62" s="550"/>
      <c r="V62" s="550"/>
      <c r="W62" s="487"/>
      <c r="X62" s="488"/>
      <c r="Y62" s="488"/>
      <c r="Z62" s="490"/>
      <c r="AA62" s="606"/>
      <c r="AB62" s="607"/>
      <c r="AC62" s="607"/>
      <c r="AD62" s="607"/>
      <c r="AE62" s="607"/>
      <c r="AF62" s="607"/>
      <c r="AG62" s="607"/>
      <c r="AH62" s="607"/>
    </row>
    <row r="63" spans="1:34" s="608" customFormat="1" ht="40.15" customHeight="1" x14ac:dyDescent="0.5">
      <c r="A63" s="604"/>
      <c r="B63" s="605" t="s">
        <v>402</v>
      </c>
      <c r="C63" s="550"/>
      <c r="D63" s="550"/>
      <c r="E63" s="550"/>
      <c r="F63" s="550"/>
      <c r="G63" s="550"/>
      <c r="H63" s="550"/>
      <c r="I63" s="550"/>
      <c r="J63" s="550"/>
      <c r="K63" s="550"/>
      <c r="L63" s="550"/>
      <c r="M63" s="550"/>
      <c r="N63" s="550"/>
      <c r="O63" s="550"/>
      <c r="P63" s="550"/>
      <c r="Q63" s="550"/>
      <c r="R63" s="550"/>
      <c r="S63" s="550"/>
      <c r="T63" s="550"/>
      <c r="U63" s="550"/>
      <c r="V63" s="550"/>
      <c r="W63" s="487"/>
      <c r="X63" s="488"/>
      <c r="Y63" s="488"/>
      <c r="Z63" s="490"/>
      <c r="AA63" s="606"/>
      <c r="AB63" s="607"/>
      <c r="AC63" s="607"/>
      <c r="AD63" s="607"/>
      <c r="AE63" s="607"/>
      <c r="AF63" s="607"/>
      <c r="AG63" s="607"/>
      <c r="AH63" s="607"/>
    </row>
    <row r="64" spans="1:34" s="608" customFormat="1" ht="40.15" customHeight="1" x14ac:dyDescent="0.5">
      <c r="A64" s="604"/>
      <c r="B64" s="609" t="s">
        <v>375</v>
      </c>
      <c r="C64" s="550">
        <f t="shared" ref="C64:U65" si="8">+C47+C36+C25-C14</f>
        <v>0</v>
      </c>
      <c r="D64" s="550">
        <f t="shared" si="8"/>
        <v>0</v>
      </c>
      <c r="E64" s="550">
        <f t="shared" si="8"/>
        <v>0</v>
      </c>
      <c r="F64" s="550">
        <f t="shared" si="8"/>
        <v>0</v>
      </c>
      <c r="G64" s="550">
        <f t="shared" si="8"/>
        <v>0</v>
      </c>
      <c r="H64" s="550">
        <f t="shared" si="8"/>
        <v>0</v>
      </c>
      <c r="I64" s="550">
        <f t="shared" si="8"/>
        <v>-253998</v>
      </c>
      <c r="J64" s="550">
        <f t="shared" si="8"/>
        <v>-244721</v>
      </c>
      <c r="K64" s="550">
        <f t="shared" si="8"/>
        <v>-252232</v>
      </c>
      <c r="L64" s="550">
        <f t="shared" si="8"/>
        <v>0</v>
      </c>
      <c r="M64" s="550">
        <f t="shared" si="8"/>
        <v>0</v>
      </c>
      <c r="N64" s="550">
        <f t="shared" si="8"/>
        <v>0</v>
      </c>
      <c r="O64" s="550">
        <f t="shared" si="8"/>
        <v>0</v>
      </c>
      <c r="P64" s="550">
        <f t="shared" si="8"/>
        <v>0</v>
      </c>
      <c r="Q64" s="550">
        <f t="shared" si="8"/>
        <v>0</v>
      </c>
      <c r="R64" s="550">
        <f t="shared" si="8"/>
        <v>0</v>
      </c>
      <c r="S64" s="550">
        <f t="shared" si="8"/>
        <v>0</v>
      </c>
      <c r="T64" s="550">
        <f t="shared" si="8"/>
        <v>0</v>
      </c>
      <c r="U64" s="550">
        <f t="shared" si="8"/>
        <v>-750951</v>
      </c>
      <c r="V64" s="550"/>
      <c r="W64" s="487"/>
      <c r="X64" s="488"/>
      <c r="Y64" s="488"/>
      <c r="Z64" s="490"/>
      <c r="AA64" s="606"/>
      <c r="AB64" s="607"/>
      <c r="AC64" s="607"/>
      <c r="AD64" s="607"/>
      <c r="AE64" s="607"/>
      <c r="AF64" s="607"/>
      <c r="AG64" s="607"/>
      <c r="AH64" s="607"/>
    </row>
    <row r="65" spans="1:34" s="608" customFormat="1" ht="68.25" customHeight="1" x14ac:dyDescent="0.5">
      <c r="A65" s="604"/>
      <c r="B65" s="610" t="s">
        <v>376</v>
      </c>
      <c r="C65" s="550">
        <f t="shared" si="8"/>
        <v>0</v>
      </c>
      <c r="D65" s="550">
        <f t="shared" si="8"/>
        <v>0</v>
      </c>
      <c r="E65" s="550">
        <f t="shared" si="8"/>
        <v>0</v>
      </c>
      <c r="F65" s="550">
        <f t="shared" si="8"/>
        <v>0</v>
      </c>
      <c r="G65" s="550">
        <f t="shared" si="8"/>
        <v>0</v>
      </c>
      <c r="H65" s="550">
        <f t="shared" si="8"/>
        <v>0</v>
      </c>
      <c r="I65" s="550">
        <f t="shared" si="8"/>
        <v>456933</v>
      </c>
      <c r="J65" s="550">
        <f t="shared" si="8"/>
        <v>399489</v>
      </c>
      <c r="K65" s="550">
        <f t="shared" si="8"/>
        <v>-407094</v>
      </c>
      <c r="L65" s="550">
        <f t="shared" si="8"/>
        <v>0</v>
      </c>
      <c r="M65" s="550">
        <f t="shared" si="8"/>
        <v>0</v>
      </c>
      <c r="N65" s="550">
        <f t="shared" si="8"/>
        <v>0</v>
      </c>
      <c r="O65" s="550">
        <f t="shared" si="8"/>
        <v>0</v>
      </c>
      <c r="P65" s="550">
        <f t="shared" si="8"/>
        <v>0</v>
      </c>
      <c r="Q65" s="550">
        <f t="shared" si="8"/>
        <v>0</v>
      </c>
      <c r="R65" s="550">
        <f t="shared" si="8"/>
        <v>0</v>
      </c>
      <c r="S65" s="550">
        <f t="shared" si="8"/>
        <v>0</v>
      </c>
      <c r="T65" s="550">
        <f t="shared" si="8"/>
        <v>0</v>
      </c>
      <c r="U65" s="550">
        <f t="shared" si="8"/>
        <v>449328</v>
      </c>
      <c r="V65" s="550"/>
      <c r="W65" s="487"/>
      <c r="X65" s="488"/>
      <c r="Y65" s="488"/>
      <c r="Z65" s="490"/>
      <c r="AA65" s="606"/>
      <c r="AB65" s="607"/>
      <c r="AC65" s="607"/>
      <c r="AD65" s="607"/>
      <c r="AE65" s="607"/>
      <c r="AF65" s="607"/>
      <c r="AG65" s="607"/>
      <c r="AH65" s="607"/>
    </row>
    <row r="66" spans="1:34" s="608" customFormat="1" ht="40.15" customHeight="1" x14ac:dyDescent="0.5">
      <c r="A66" s="604"/>
      <c r="B66" s="609" t="s">
        <v>132</v>
      </c>
      <c r="C66" s="550">
        <f t="shared" ref="C66:U66" si="9">+C49+C38+C27+C57-C16</f>
        <v>0</v>
      </c>
      <c r="D66" s="550">
        <f t="shared" si="9"/>
        <v>0</v>
      </c>
      <c r="E66" s="550">
        <f t="shared" si="9"/>
        <v>0</v>
      </c>
      <c r="F66" s="550">
        <f t="shared" si="9"/>
        <v>0</v>
      </c>
      <c r="G66" s="550">
        <f t="shared" si="9"/>
        <v>0</v>
      </c>
      <c r="H66" s="550">
        <f t="shared" si="9"/>
        <v>0</v>
      </c>
      <c r="I66" s="550">
        <f t="shared" si="9"/>
        <v>0</v>
      </c>
      <c r="J66" s="550">
        <f t="shared" si="9"/>
        <v>0</v>
      </c>
      <c r="K66" s="550">
        <f t="shared" si="9"/>
        <v>0</v>
      </c>
      <c r="L66" s="550">
        <f t="shared" si="9"/>
        <v>0</v>
      </c>
      <c r="M66" s="550">
        <f t="shared" si="9"/>
        <v>0</v>
      </c>
      <c r="N66" s="550">
        <f t="shared" si="9"/>
        <v>0</v>
      </c>
      <c r="O66" s="550">
        <f t="shared" si="9"/>
        <v>0</v>
      </c>
      <c r="P66" s="550">
        <f t="shared" si="9"/>
        <v>0</v>
      </c>
      <c r="Q66" s="550">
        <f t="shared" si="9"/>
        <v>0</v>
      </c>
      <c r="R66" s="550">
        <f t="shared" si="9"/>
        <v>0</v>
      </c>
      <c r="S66" s="550">
        <f t="shared" si="9"/>
        <v>0</v>
      </c>
      <c r="T66" s="550">
        <f t="shared" si="9"/>
        <v>0</v>
      </c>
      <c r="U66" s="550">
        <f t="shared" si="9"/>
        <v>0</v>
      </c>
      <c r="V66" s="550"/>
      <c r="W66" s="487"/>
      <c r="X66" s="488"/>
      <c r="Y66" s="488"/>
      <c r="Z66" s="490"/>
      <c r="AA66" s="606"/>
      <c r="AB66" s="607"/>
      <c r="AC66" s="607"/>
      <c r="AD66" s="607"/>
      <c r="AE66" s="607"/>
      <c r="AF66" s="607"/>
      <c r="AG66" s="607"/>
      <c r="AH66" s="607"/>
    </row>
    <row r="67" spans="1:34" s="608" customFormat="1" ht="40.15" customHeight="1" x14ac:dyDescent="0.5">
      <c r="A67" s="604"/>
      <c r="B67" s="609" t="s">
        <v>378</v>
      </c>
      <c r="C67" s="550">
        <f t="shared" ref="C67:U71" si="10">+C50+C39+C28-C17</f>
        <v>0</v>
      </c>
      <c r="D67" s="550">
        <f t="shared" si="10"/>
        <v>0</v>
      </c>
      <c r="E67" s="550">
        <f t="shared" si="10"/>
        <v>0</v>
      </c>
      <c r="F67" s="550">
        <f t="shared" si="10"/>
        <v>0</v>
      </c>
      <c r="G67" s="550">
        <f t="shared" si="10"/>
        <v>0</v>
      </c>
      <c r="H67" s="550">
        <f t="shared" si="10"/>
        <v>0</v>
      </c>
      <c r="I67" s="550">
        <f t="shared" si="10"/>
        <v>0</v>
      </c>
      <c r="J67" s="550">
        <f t="shared" si="10"/>
        <v>0</v>
      </c>
      <c r="K67" s="550">
        <f t="shared" si="10"/>
        <v>0</v>
      </c>
      <c r="L67" s="550">
        <f t="shared" si="10"/>
        <v>0</v>
      </c>
      <c r="M67" s="550">
        <f t="shared" si="10"/>
        <v>0</v>
      </c>
      <c r="N67" s="550">
        <f t="shared" si="10"/>
        <v>0</v>
      </c>
      <c r="O67" s="550">
        <f t="shared" si="10"/>
        <v>0</v>
      </c>
      <c r="P67" s="550">
        <f t="shared" si="10"/>
        <v>0</v>
      </c>
      <c r="Q67" s="550">
        <f t="shared" si="10"/>
        <v>0</v>
      </c>
      <c r="R67" s="550">
        <f t="shared" si="10"/>
        <v>0</v>
      </c>
      <c r="S67" s="550">
        <f t="shared" si="10"/>
        <v>0</v>
      </c>
      <c r="T67" s="550">
        <f t="shared" si="10"/>
        <v>0</v>
      </c>
      <c r="U67" s="550">
        <f t="shared" si="10"/>
        <v>0</v>
      </c>
      <c r="V67" s="550"/>
      <c r="W67" s="487"/>
      <c r="X67" s="488"/>
      <c r="Y67" s="488"/>
      <c r="Z67" s="490"/>
      <c r="AA67" s="606"/>
      <c r="AB67" s="607"/>
      <c r="AC67" s="607"/>
      <c r="AD67" s="607"/>
      <c r="AE67" s="607"/>
      <c r="AF67" s="607"/>
      <c r="AG67" s="607"/>
      <c r="AH67" s="607"/>
    </row>
    <row r="68" spans="1:34" s="608" customFormat="1" ht="40.15" customHeight="1" x14ac:dyDescent="0.5">
      <c r="A68" s="604"/>
      <c r="B68" s="609" t="s">
        <v>379</v>
      </c>
      <c r="C68" s="550">
        <f t="shared" ref="C68:U68" si="11">+C51+C40+C29+C57-C18</f>
        <v>0</v>
      </c>
      <c r="D68" s="550">
        <f t="shared" si="11"/>
        <v>0</v>
      </c>
      <c r="E68" s="550">
        <f t="shared" si="11"/>
        <v>0</v>
      </c>
      <c r="F68" s="550">
        <f t="shared" si="11"/>
        <v>0</v>
      </c>
      <c r="G68" s="550">
        <f t="shared" si="11"/>
        <v>0</v>
      </c>
      <c r="H68" s="550">
        <f t="shared" si="11"/>
        <v>0</v>
      </c>
      <c r="I68" s="550">
        <f t="shared" si="11"/>
        <v>202935</v>
      </c>
      <c r="J68" s="550">
        <f t="shared" si="11"/>
        <v>154768</v>
      </c>
      <c r="K68" s="550">
        <f t="shared" si="11"/>
        <v>-659326</v>
      </c>
      <c r="L68" s="550">
        <f t="shared" si="11"/>
        <v>0</v>
      </c>
      <c r="M68" s="550">
        <f t="shared" si="11"/>
        <v>0</v>
      </c>
      <c r="N68" s="550">
        <f t="shared" si="11"/>
        <v>0</v>
      </c>
      <c r="O68" s="550">
        <f t="shared" si="11"/>
        <v>0</v>
      </c>
      <c r="P68" s="550">
        <f t="shared" si="11"/>
        <v>0</v>
      </c>
      <c r="Q68" s="550">
        <f t="shared" si="11"/>
        <v>0</v>
      </c>
      <c r="R68" s="550">
        <f t="shared" si="11"/>
        <v>0</v>
      </c>
      <c r="S68" s="550">
        <f t="shared" si="11"/>
        <v>0</v>
      </c>
      <c r="T68" s="550">
        <f t="shared" si="11"/>
        <v>0</v>
      </c>
      <c r="U68" s="550">
        <f t="shared" si="11"/>
        <v>-301623</v>
      </c>
      <c r="V68" s="550"/>
      <c r="W68" s="487"/>
      <c r="X68" s="488"/>
      <c r="Y68" s="488"/>
      <c r="Z68" s="490"/>
      <c r="AA68" s="606"/>
      <c r="AB68" s="607"/>
      <c r="AC68" s="607"/>
      <c r="AD68" s="607"/>
      <c r="AE68" s="607"/>
      <c r="AF68" s="607"/>
      <c r="AG68" s="607"/>
      <c r="AH68" s="607"/>
    </row>
    <row r="69" spans="1:34" s="608" customFormat="1" ht="40.15" customHeight="1" x14ac:dyDescent="0.5">
      <c r="A69" s="604"/>
      <c r="B69" s="609" t="s">
        <v>60</v>
      </c>
      <c r="C69" s="550">
        <f t="shared" si="10"/>
        <v>0</v>
      </c>
      <c r="D69" s="550">
        <f t="shared" si="10"/>
        <v>0</v>
      </c>
      <c r="E69" s="550">
        <f t="shared" si="10"/>
        <v>0</v>
      </c>
      <c r="F69" s="550">
        <f t="shared" si="10"/>
        <v>0</v>
      </c>
      <c r="G69" s="550">
        <f t="shared" si="10"/>
        <v>0</v>
      </c>
      <c r="H69" s="550">
        <f t="shared" si="10"/>
        <v>0</v>
      </c>
      <c r="I69" s="550">
        <f t="shared" si="10"/>
        <v>-483297.15999999992</v>
      </c>
      <c r="J69" s="550">
        <f t="shared" si="10"/>
        <v>-486205.78</v>
      </c>
      <c r="K69" s="550">
        <f t="shared" si="10"/>
        <v>-473711.35</v>
      </c>
      <c r="L69" s="550">
        <f t="shared" si="10"/>
        <v>0</v>
      </c>
      <c r="M69" s="550">
        <f t="shared" si="10"/>
        <v>0</v>
      </c>
      <c r="N69" s="550">
        <f t="shared" si="10"/>
        <v>0</v>
      </c>
      <c r="O69" s="550">
        <f t="shared" si="10"/>
        <v>0</v>
      </c>
      <c r="P69" s="550">
        <f t="shared" si="10"/>
        <v>0</v>
      </c>
      <c r="Q69" s="550">
        <f t="shared" si="10"/>
        <v>0</v>
      </c>
      <c r="R69" s="550">
        <f t="shared" si="10"/>
        <v>0</v>
      </c>
      <c r="S69" s="550">
        <f t="shared" si="10"/>
        <v>0</v>
      </c>
      <c r="T69" s="550">
        <f t="shared" si="10"/>
        <v>0</v>
      </c>
      <c r="U69" s="550">
        <f t="shared" si="10"/>
        <v>-1443214.29</v>
      </c>
      <c r="V69" s="550"/>
      <c r="W69" s="487"/>
      <c r="X69" s="488"/>
      <c r="Y69" s="488"/>
      <c r="Z69" s="490"/>
      <c r="AA69" s="606"/>
      <c r="AB69" s="607"/>
      <c r="AC69" s="607"/>
      <c r="AD69" s="607"/>
      <c r="AE69" s="607"/>
      <c r="AF69" s="607"/>
      <c r="AG69" s="607"/>
      <c r="AH69" s="607"/>
    </row>
    <row r="70" spans="1:34" s="608" customFormat="1" ht="40.15" customHeight="1" x14ac:dyDescent="0.5">
      <c r="A70" s="604"/>
      <c r="B70" s="609" t="s">
        <v>381</v>
      </c>
      <c r="C70" s="550">
        <f t="shared" si="10"/>
        <v>0</v>
      </c>
      <c r="D70" s="550">
        <f t="shared" si="10"/>
        <v>0</v>
      </c>
      <c r="E70" s="550">
        <f t="shared" si="10"/>
        <v>0</v>
      </c>
      <c r="F70" s="550">
        <f t="shared" si="10"/>
        <v>0</v>
      </c>
      <c r="G70" s="550">
        <f t="shared" si="10"/>
        <v>0</v>
      </c>
      <c r="H70" s="550">
        <f t="shared" si="10"/>
        <v>0</v>
      </c>
      <c r="I70" s="550">
        <f t="shared" si="10"/>
        <v>483297.15999999992</v>
      </c>
      <c r="J70" s="550">
        <f t="shared" si="10"/>
        <v>486205.78</v>
      </c>
      <c r="K70" s="550">
        <f t="shared" si="10"/>
        <v>473711.35</v>
      </c>
      <c r="L70" s="550">
        <f t="shared" si="10"/>
        <v>0</v>
      </c>
      <c r="M70" s="550">
        <f t="shared" si="10"/>
        <v>0</v>
      </c>
      <c r="N70" s="550">
        <f t="shared" si="10"/>
        <v>0</v>
      </c>
      <c r="O70" s="550">
        <f t="shared" si="10"/>
        <v>0</v>
      </c>
      <c r="P70" s="550">
        <f t="shared" si="10"/>
        <v>0</v>
      </c>
      <c r="Q70" s="550">
        <f t="shared" si="10"/>
        <v>0</v>
      </c>
      <c r="R70" s="550">
        <f t="shared" si="10"/>
        <v>0</v>
      </c>
      <c r="S70" s="550">
        <f t="shared" si="10"/>
        <v>0</v>
      </c>
      <c r="T70" s="550">
        <f t="shared" si="10"/>
        <v>0</v>
      </c>
      <c r="U70" s="550">
        <f t="shared" si="10"/>
        <v>1443214.29</v>
      </c>
      <c r="V70" s="550"/>
      <c r="W70" s="487"/>
      <c r="X70" s="488"/>
      <c r="Y70" s="488"/>
      <c r="Z70" s="490"/>
      <c r="AA70" s="606"/>
      <c r="AB70" s="607"/>
      <c r="AC70" s="607"/>
      <c r="AD70" s="607"/>
      <c r="AE70" s="607"/>
      <c r="AF70" s="607"/>
      <c r="AG70" s="607"/>
      <c r="AH70" s="607"/>
    </row>
    <row r="71" spans="1:34" s="608" customFormat="1" ht="40.15" customHeight="1" x14ac:dyDescent="0.5">
      <c r="A71" s="604"/>
      <c r="B71" s="609" t="s">
        <v>90</v>
      </c>
      <c r="C71" s="550">
        <f t="shared" si="10"/>
        <v>0</v>
      </c>
      <c r="D71" s="550">
        <f t="shared" si="10"/>
        <v>0</v>
      </c>
      <c r="E71" s="550">
        <f t="shared" si="10"/>
        <v>0</v>
      </c>
      <c r="F71" s="550">
        <f t="shared" si="10"/>
        <v>0</v>
      </c>
      <c r="G71" s="550">
        <f t="shared" si="10"/>
        <v>0</v>
      </c>
      <c r="H71" s="550">
        <f t="shared" si="10"/>
        <v>0</v>
      </c>
      <c r="I71" s="550">
        <f t="shared" si="10"/>
        <v>0</v>
      </c>
      <c r="J71" s="550">
        <f t="shared" si="10"/>
        <v>0</v>
      </c>
      <c r="K71" s="550">
        <f t="shared" si="10"/>
        <v>0</v>
      </c>
      <c r="L71" s="550">
        <f t="shared" si="10"/>
        <v>0</v>
      </c>
      <c r="M71" s="550">
        <f t="shared" si="10"/>
        <v>0</v>
      </c>
      <c r="N71" s="550">
        <f t="shared" si="10"/>
        <v>0</v>
      </c>
      <c r="O71" s="550">
        <f t="shared" si="10"/>
        <v>0</v>
      </c>
      <c r="P71" s="550">
        <f t="shared" si="10"/>
        <v>0</v>
      </c>
      <c r="Q71" s="550">
        <f t="shared" si="10"/>
        <v>0</v>
      </c>
      <c r="R71" s="550">
        <f t="shared" si="10"/>
        <v>0</v>
      </c>
      <c r="S71" s="550">
        <f t="shared" si="10"/>
        <v>0</v>
      </c>
      <c r="T71" s="550">
        <f t="shared" si="10"/>
        <v>0</v>
      </c>
      <c r="U71" s="550">
        <f t="shared" si="10"/>
        <v>0</v>
      </c>
      <c r="V71" s="550"/>
      <c r="W71" s="487"/>
      <c r="X71" s="488"/>
      <c r="Y71" s="488"/>
      <c r="Z71" s="490"/>
      <c r="AA71" s="606"/>
      <c r="AB71" s="607"/>
      <c r="AC71" s="607"/>
      <c r="AD71" s="607"/>
      <c r="AE71" s="607"/>
      <c r="AF71" s="607"/>
      <c r="AG71" s="607"/>
      <c r="AH71" s="607"/>
    </row>
    <row r="72" spans="1:34" s="608" customFormat="1" ht="63" x14ac:dyDescent="0.5">
      <c r="A72" s="604"/>
      <c r="B72" s="610" t="s">
        <v>382</v>
      </c>
      <c r="C72" s="550">
        <f t="shared" ref="C72:U72" si="12">+C55+C44+C33+C57-C22</f>
        <v>0</v>
      </c>
      <c r="D72" s="550">
        <f t="shared" si="12"/>
        <v>0</v>
      </c>
      <c r="E72" s="550">
        <f t="shared" si="12"/>
        <v>0</v>
      </c>
      <c r="F72" s="550">
        <f t="shared" si="12"/>
        <v>0</v>
      </c>
      <c r="G72" s="550">
        <f t="shared" si="12"/>
        <v>0</v>
      </c>
      <c r="H72" s="550">
        <f t="shared" si="12"/>
        <v>0</v>
      </c>
      <c r="I72" s="550">
        <f t="shared" si="12"/>
        <v>202935</v>
      </c>
      <c r="J72" s="550">
        <f t="shared" si="12"/>
        <v>154768</v>
      </c>
      <c r="K72" s="550">
        <f t="shared" si="12"/>
        <v>-659326</v>
      </c>
      <c r="L72" s="550">
        <f t="shared" si="12"/>
        <v>0</v>
      </c>
      <c r="M72" s="550">
        <f t="shared" si="12"/>
        <v>0</v>
      </c>
      <c r="N72" s="550">
        <f t="shared" si="12"/>
        <v>0</v>
      </c>
      <c r="O72" s="550">
        <f t="shared" si="12"/>
        <v>0</v>
      </c>
      <c r="P72" s="550">
        <f t="shared" si="12"/>
        <v>0</v>
      </c>
      <c r="Q72" s="550">
        <f t="shared" si="12"/>
        <v>0</v>
      </c>
      <c r="R72" s="550">
        <f t="shared" si="12"/>
        <v>0</v>
      </c>
      <c r="S72" s="550">
        <f t="shared" si="12"/>
        <v>0</v>
      </c>
      <c r="T72" s="550">
        <f t="shared" si="12"/>
        <v>0</v>
      </c>
      <c r="U72" s="550">
        <f t="shared" si="12"/>
        <v>-301623</v>
      </c>
      <c r="W72" s="611"/>
      <c r="X72" s="611"/>
      <c r="Y72" s="611"/>
      <c r="Z72" s="611"/>
      <c r="AA72" s="607"/>
      <c r="AB72" s="607"/>
      <c r="AC72" s="607"/>
      <c r="AD72" s="607"/>
      <c r="AE72" s="607"/>
      <c r="AF72" s="607"/>
      <c r="AG72" s="607"/>
      <c r="AH72" s="607"/>
    </row>
    <row r="73" spans="1:34" s="608" customFormat="1" ht="40.15" customHeight="1" x14ac:dyDescent="0.5">
      <c r="A73" s="604"/>
      <c r="B73" s="605" t="s">
        <v>403</v>
      </c>
      <c r="C73" s="550"/>
      <c r="D73" s="550"/>
      <c r="E73" s="550"/>
      <c r="F73" s="550"/>
      <c r="G73" s="550"/>
      <c r="H73" s="550"/>
      <c r="I73" s="550"/>
      <c r="J73" s="550"/>
      <c r="K73" s="550"/>
      <c r="L73" s="550"/>
      <c r="M73" s="550"/>
      <c r="N73" s="550"/>
      <c r="O73" s="550"/>
      <c r="P73" s="550"/>
      <c r="Q73" s="550"/>
      <c r="R73" s="550"/>
      <c r="S73" s="550"/>
      <c r="T73" s="550"/>
      <c r="U73" s="550"/>
      <c r="V73" s="550"/>
      <c r="W73" s="487"/>
      <c r="X73" s="488"/>
      <c r="Y73" s="488"/>
      <c r="Z73" s="490"/>
      <c r="AA73" s="606"/>
      <c r="AB73" s="607"/>
      <c r="AC73" s="607"/>
      <c r="AD73" s="607"/>
      <c r="AE73" s="607"/>
      <c r="AF73" s="607"/>
      <c r="AG73" s="607"/>
      <c r="AH73" s="607"/>
    </row>
    <row r="74" spans="1:34" s="608" customFormat="1" ht="63" x14ac:dyDescent="0.5">
      <c r="A74" s="604"/>
      <c r="B74" s="610" t="s">
        <v>382</v>
      </c>
      <c r="C74" s="194">
        <v>-3.000000037252903</v>
      </c>
      <c r="D74" s="194">
        <v>0.99999998509883881</v>
      </c>
      <c r="E74" s="194">
        <v>0.99999998509883881</v>
      </c>
      <c r="F74" s="194">
        <v>0</v>
      </c>
      <c r="G74" s="194">
        <v>2.9999999701976776</v>
      </c>
      <c r="H74" s="194">
        <v>-3930363</v>
      </c>
      <c r="I74" s="194">
        <v>0</v>
      </c>
      <c r="J74" s="194">
        <v>0</v>
      </c>
      <c r="K74" s="194">
        <v>0</v>
      </c>
      <c r="L74" s="194">
        <v>0</v>
      </c>
      <c r="M74" s="194">
        <v>0</v>
      </c>
      <c r="N74" s="194">
        <v>0</v>
      </c>
      <c r="O74" s="194">
        <v>0</v>
      </c>
      <c r="P74" s="194">
        <v>0</v>
      </c>
      <c r="Q74" s="194">
        <v>0</v>
      </c>
      <c r="R74" s="194">
        <v>0</v>
      </c>
      <c r="S74" s="194">
        <v>0</v>
      </c>
      <c r="T74" s="194">
        <v>0</v>
      </c>
      <c r="U74" s="194">
        <v>0</v>
      </c>
      <c r="W74" s="611"/>
      <c r="X74" s="611"/>
      <c r="Y74" s="611"/>
      <c r="Z74" s="611"/>
      <c r="AA74" s="607"/>
      <c r="AB74" s="607"/>
      <c r="AC74" s="607"/>
      <c r="AD74" s="607"/>
      <c r="AE74" s="607"/>
      <c r="AF74" s="607"/>
      <c r="AG74" s="607"/>
      <c r="AH74" s="607"/>
    </row>
    <row r="75" spans="1:34" x14ac:dyDescent="0.25">
      <c r="V75" s="613"/>
    </row>
    <row r="76" spans="1:34" x14ac:dyDescent="0.25">
      <c r="V76" s="613"/>
    </row>
    <row r="77" spans="1:34" x14ac:dyDescent="0.25">
      <c r="V77" s="613"/>
    </row>
    <row r="78" spans="1:34" x14ac:dyDescent="0.25">
      <c r="V78" s="613"/>
    </row>
    <row r="79" spans="1:34" x14ac:dyDescent="0.25">
      <c r="V79" s="613"/>
    </row>
    <row r="80" spans="1:34" x14ac:dyDescent="0.25">
      <c r="V80" s="613"/>
    </row>
    <row r="81" spans="22:22" x14ac:dyDescent="0.25">
      <c r="V81" s="613"/>
    </row>
    <row r="82" spans="22:22" x14ac:dyDescent="0.25">
      <c r="V82" s="613"/>
    </row>
    <row r="83" spans="22:22" x14ac:dyDescent="0.25">
      <c r="V83" s="613"/>
    </row>
    <row r="84" spans="22:22" x14ac:dyDescent="0.25">
      <c r="V84" s="613"/>
    </row>
    <row r="85" spans="22:22" x14ac:dyDescent="0.25">
      <c r="V85" s="613"/>
    </row>
    <row r="86" spans="22:22" x14ac:dyDescent="0.25">
      <c r="V86" s="613"/>
    </row>
    <row r="87" spans="22:22" x14ac:dyDescent="0.25">
      <c r="V87" s="613"/>
    </row>
    <row r="88" spans="22:22" x14ac:dyDescent="0.25">
      <c r="V88" s="613"/>
    </row>
    <row r="89" spans="22:22" x14ac:dyDescent="0.25">
      <c r="V89" s="613"/>
    </row>
    <row r="90" spans="22:22" x14ac:dyDescent="0.25">
      <c r="V90" s="613"/>
    </row>
    <row r="91" spans="22:22" x14ac:dyDescent="0.25">
      <c r="V91" s="613"/>
    </row>
    <row r="92" spans="22:22" x14ac:dyDescent="0.25">
      <c r="V92" s="613"/>
    </row>
    <row r="93" spans="22:22" x14ac:dyDescent="0.25">
      <c r="V93" s="613"/>
    </row>
    <row r="94" spans="22:22" x14ac:dyDescent="0.25">
      <c r="V94" s="613"/>
    </row>
    <row r="95" spans="22:22" x14ac:dyDescent="0.25">
      <c r="V95" s="613"/>
    </row>
    <row r="96" spans="22:22" x14ac:dyDescent="0.25">
      <c r="V96" s="613"/>
    </row>
    <row r="97" spans="22:22" x14ac:dyDescent="0.25">
      <c r="V97" s="613"/>
    </row>
    <row r="98" spans="22:22" x14ac:dyDescent="0.25">
      <c r="V98" s="613"/>
    </row>
    <row r="99" spans="22:22" x14ac:dyDescent="0.25">
      <c r="V99" s="613"/>
    </row>
    <row r="100" spans="22:22" x14ac:dyDescent="0.25">
      <c r="V100" s="613"/>
    </row>
    <row r="101" spans="22:22" x14ac:dyDescent="0.25">
      <c r="V101" s="613"/>
    </row>
    <row r="102" spans="22:22" x14ac:dyDescent="0.25">
      <c r="V102" s="613"/>
    </row>
    <row r="103" spans="22:22" x14ac:dyDescent="0.25">
      <c r="V103" s="613"/>
    </row>
    <row r="104" spans="22:22" x14ac:dyDescent="0.25">
      <c r="V104" s="613"/>
    </row>
    <row r="105" spans="22:22" x14ac:dyDescent="0.25">
      <c r="V105" s="613"/>
    </row>
    <row r="106" spans="22:22" x14ac:dyDescent="0.25">
      <c r="V106" s="613"/>
    </row>
    <row r="107" spans="22:22" x14ac:dyDescent="0.25">
      <c r="V107" s="613"/>
    </row>
    <row r="108" spans="22:22" x14ac:dyDescent="0.25">
      <c r="V108" s="613"/>
    </row>
    <row r="109" spans="22:22" x14ac:dyDescent="0.25">
      <c r="V109" s="613"/>
    </row>
    <row r="110" spans="22:22" x14ac:dyDescent="0.25">
      <c r="V110" s="613"/>
    </row>
    <row r="111" spans="22:22" x14ac:dyDescent="0.25">
      <c r="V111" s="613"/>
    </row>
    <row r="112" spans="22:22" x14ac:dyDescent="0.25">
      <c r="V112" s="613"/>
    </row>
    <row r="113" spans="22:22" x14ac:dyDescent="0.25">
      <c r="V113" s="613"/>
    </row>
    <row r="114" spans="22:22" x14ac:dyDescent="0.25">
      <c r="V114" s="613"/>
    </row>
    <row r="115" spans="22:22" x14ac:dyDescent="0.25">
      <c r="V115" s="613"/>
    </row>
    <row r="116" spans="22:22" x14ac:dyDescent="0.25">
      <c r="V116" s="613"/>
    </row>
    <row r="117" spans="22:22" x14ac:dyDescent="0.25">
      <c r="V117" s="613"/>
    </row>
    <row r="118" spans="22:22" x14ac:dyDescent="0.25">
      <c r="V118" s="613"/>
    </row>
    <row r="119" spans="22:22" x14ac:dyDescent="0.25">
      <c r="V119" s="613"/>
    </row>
    <row r="120" spans="22:22" x14ac:dyDescent="0.25">
      <c r="V120" s="613"/>
    </row>
    <row r="121" spans="22:22" x14ac:dyDescent="0.25">
      <c r="V121" s="613"/>
    </row>
    <row r="122" spans="22:22" x14ac:dyDescent="0.25">
      <c r="V122" s="613"/>
    </row>
    <row r="123" spans="22:22" x14ac:dyDescent="0.25">
      <c r="V123" s="613"/>
    </row>
    <row r="124" spans="22:22" x14ac:dyDescent="0.25">
      <c r="V124" s="613"/>
    </row>
    <row r="125" spans="22:22" x14ac:dyDescent="0.25">
      <c r="V125" s="613"/>
    </row>
    <row r="126" spans="22:22" x14ac:dyDescent="0.25">
      <c r="V126" s="613"/>
    </row>
    <row r="127" spans="22:22" x14ac:dyDescent="0.25">
      <c r="V127" s="613"/>
    </row>
    <row r="128" spans="22:22" x14ac:dyDescent="0.25">
      <c r="V128" s="613"/>
    </row>
    <row r="129" spans="22:22" x14ac:dyDescent="0.25">
      <c r="V129" s="613"/>
    </row>
    <row r="130" spans="22:22" x14ac:dyDescent="0.25">
      <c r="V130" s="613"/>
    </row>
    <row r="131" spans="22:22" x14ac:dyDescent="0.25">
      <c r="V131" s="613"/>
    </row>
    <row r="132" spans="22:22" x14ac:dyDescent="0.25">
      <c r="V132" s="613"/>
    </row>
    <row r="133" spans="22:22" x14ac:dyDescent="0.25">
      <c r="V133" s="613"/>
    </row>
    <row r="134" spans="22:22" x14ac:dyDescent="0.25">
      <c r="V134" s="613"/>
    </row>
    <row r="135" spans="22:22" x14ac:dyDescent="0.25">
      <c r="V135" s="613"/>
    </row>
    <row r="136" spans="22:22" x14ac:dyDescent="0.25">
      <c r="V136" s="613"/>
    </row>
    <row r="137" spans="22:22" x14ac:dyDescent="0.25">
      <c r="V137" s="613"/>
    </row>
    <row r="138" spans="22:22" x14ac:dyDescent="0.25">
      <c r="V138" s="613"/>
    </row>
    <row r="139" spans="22:22" x14ac:dyDescent="0.25">
      <c r="V139" s="613"/>
    </row>
    <row r="140" spans="22:22" x14ac:dyDescent="0.25">
      <c r="V140" s="613"/>
    </row>
    <row r="141" spans="22:22" x14ac:dyDescent="0.25">
      <c r="V141" s="613"/>
    </row>
    <row r="142" spans="22:22" x14ac:dyDescent="0.25">
      <c r="V142" s="613"/>
    </row>
    <row r="143" spans="22:22" x14ac:dyDescent="0.25">
      <c r="V143" s="613"/>
    </row>
    <row r="144" spans="22:22" x14ac:dyDescent="0.25">
      <c r="V144" s="613"/>
    </row>
    <row r="145" spans="22:22" x14ac:dyDescent="0.25">
      <c r="V145" s="613"/>
    </row>
    <row r="146" spans="22:22" x14ac:dyDescent="0.25">
      <c r="V146" s="613"/>
    </row>
    <row r="147" spans="22:22" x14ac:dyDescent="0.25">
      <c r="V147" s="613"/>
    </row>
    <row r="148" spans="22:22" x14ac:dyDescent="0.25">
      <c r="V148" s="613"/>
    </row>
    <row r="149" spans="22:22" x14ac:dyDescent="0.25">
      <c r="V149" s="613"/>
    </row>
    <row r="150" spans="22:22" x14ac:dyDescent="0.25">
      <c r="V150" s="613"/>
    </row>
    <row r="151" spans="22:22" x14ac:dyDescent="0.25">
      <c r="V151" s="613"/>
    </row>
    <row r="152" spans="22:22" x14ac:dyDescent="0.25">
      <c r="V152" s="613"/>
    </row>
    <row r="153" spans="22:22" x14ac:dyDescent="0.25">
      <c r="V153" s="613"/>
    </row>
    <row r="154" spans="22:22" x14ac:dyDescent="0.25">
      <c r="V154" s="613"/>
    </row>
    <row r="155" spans="22:22" x14ac:dyDescent="0.25">
      <c r="V155" s="613"/>
    </row>
    <row r="156" spans="22:22" x14ac:dyDescent="0.25">
      <c r="V156" s="613"/>
    </row>
    <row r="157" spans="22:22" x14ac:dyDescent="0.25">
      <c r="V157" s="613"/>
    </row>
    <row r="158" spans="22:22" x14ac:dyDescent="0.25">
      <c r="V158" s="613"/>
    </row>
    <row r="159" spans="22:22" x14ac:dyDescent="0.25">
      <c r="V159" s="613"/>
    </row>
    <row r="160" spans="22:22" x14ac:dyDescent="0.25">
      <c r="V160" s="613"/>
    </row>
    <row r="161" spans="22:22" x14ac:dyDescent="0.25">
      <c r="V161" s="613"/>
    </row>
    <row r="162" spans="22:22" x14ac:dyDescent="0.25">
      <c r="V162" s="613"/>
    </row>
    <row r="163" spans="22:22" x14ac:dyDescent="0.25">
      <c r="V163" s="613"/>
    </row>
    <row r="164" spans="22:22" x14ac:dyDescent="0.25">
      <c r="V164" s="613"/>
    </row>
    <row r="165" spans="22:22" x14ac:dyDescent="0.25">
      <c r="V165" s="613"/>
    </row>
    <row r="166" spans="22:22" x14ac:dyDescent="0.25">
      <c r="V166" s="613"/>
    </row>
    <row r="167" spans="22:22" x14ac:dyDescent="0.25">
      <c r="V167" s="613"/>
    </row>
    <row r="168" spans="22:22" x14ac:dyDescent="0.25">
      <c r="V168" s="613"/>
    </row>
    <row r="169" spans="22:22" x14ac:dyDescent="0.25">
      <c r="V169" s="613"/>
    </row>
    <row r="170" spans="22:22" x14ac:dyDescent="0.25">
      <c r="V170" s="613"/>
    </row>
    <row r="171" spans="22:22" x14ac:dyDescent="0.25">
      <c r="V171" s="613"/>
    </row>
    <row r="172" spans="22:22" x14ac:dyDescent="0.25">
      <c r="V172" s="613"/>
    </row>
    <row r="173" spans="22:22" x14ac:dyDescent="0.25">
      <c r="V173" s="613"/>
    </row>
    <row r="174" spans="22:22" x14ac:dyDescent="0.25">
      <c r="V174" s="613"/>
    </row>
    <row r="175" spans="22:22" x14ac:dyDescent="0.25">
      <c r="V175" s="613"/>
    </row>
    <row r="176" spans="22:22" x14ac:dyDescent="0.25">
      <c r="V176" s="613"/>
    </row>
    <row r="177" spans="22:22" x14ac:dyDescent="0.25">
      <c r="V177" s="613"/>
    </row>
    <row r="178" spans="22:22" x14ac:dyDescent="0.25">
      <c r="V178" s="613"/>
    </row>
    <row r="179" spans="22:22" x14ac:dyDescent="0.25">
      <c r="V179" s="613"/>
    </row>
    <row r="180" spans="22:22" x14ac:dyDescent="0.25">
      <c r="V180" s="613"/>
    </row>
    <row r="181" spans="22:22" x14ac:dyDescent="0.25">
      <c r="V181" s="613"/>
    </row>
    <row r="182" spans="22:22" x14ac:dyDescent="0.25">
      <c r="V182" s="613"/>
    </row>
    <row r="183" spans="22:22" x14ac:dyDescent="0.25">
      <c r="V183" s="613"/>
    </row>
    <row r="184" spans="22:22" x14ac:dyDescent="0.25">
      <c r="V184" s="613"/>
    </row>
    <row r="185" spans="22:22" x14ac:dyDescent="0.25">
      <c r="V185" s="613"/>
    </row>
    <row r="186" spans="22:22" x14ac:dyDescent="0.25">
      <c r="V186" s="613"/>
    </row>
    <row r="187" spans="22:22" x14ac:dyDescent="0.25">
      <c r="V187" s="613"/>
    </row>
    <row r="188" spans="22:22" x14ac:dyDescent="0.25">
      <c r="V188" s="613"/>
    </row>
    <row r="189" spans="22:22" x14ac:dyDescent="0.25">
      <c r="V189" s="613"/>
    </row>
    <row r="190" spans="22:22" x14ac:dyDescent="0.25">
      <c r="V190" s="613"/>
    </row>
    <row r="191" spans="22:22" x14ac:dyDescent="0.25">
      <c r="V191" s="613"/>
    </row>
    <row r="192" spans="22:22" x14ac:dyDescent="0.25">
      <c r="V192" s="613"/>
    </row>
    <row r="193" spans="22:22" x14ac:dyDescent="0.25">
      <c r="V193" s="613"/>
    </row>
    <row r="194" spans="22:22" x14ac:dyDescent="0.25">
      <c r="V194" s="613"/>
    </row>
    <row r="195" spans="22:22" x14ac:dyDescent="0.25">
      <c r="V195" s="613"/>
    </row>
    <row r="196" spans="22:22" x14ac:dyDescent="0.25">
      <c r="V196" s="613"/>
    </row>
    <row r="197" spans="22:22" x14ac:dyDescent="0.25">
      <c r="V197" s="613"/>
    </row>
    <row r="198" spans="22:22" x14ac:dyDescent="0.25">
      <c r="V198" s="613"/>
    </row>
    <row r="199" spans="22:22" x14ac:dyDescent="0.25">
      <c r="V199" s="613"/>
    </row>
    <row r="200" spans="22:22" x14ac:dyDescent="0.25">
      <c r="V200" s="613"/>
    </row>
    <row r="201" spans="22:22" x14ac:dyDescent="0.25">
      <c r="V201" s="613"/>
    </row>
    <row r="202" spans="22:22" x14ac:dyDescent="0.25">
      <c r="V202" s="613"/>
    </row>
    <row r="203" spans="22:22" x14ac:dyDescent="0.25">
      <c r="V203" s="613"/>
    </row>
    <row r="204" spans="22:22" x14ac:dyDescent="0.25">
      <c r="V204" s="613"/>
    </row>
    <row r="205" spans="22:22" x14ac:dyDescent="0.25">
      <c r="V205" s="613"/>
    </row>
    <row r="206" spans="22:22" x14ac:dyDescent="0.25">
      <c r="V206" s="613"/>
    </row>
    <row r="207" spans="22:22" x14ac:dyDescent="0.25">
      <c r="V207" s="613"/>
    </row>
    <row r="208" spans="22:22" x14ac:dyDescent="0.25">
      <c r="V208" s="613"/>
    </row>
    <row r="209" spans="22:22" x14ac:dyDescent="0.25">
      <c r="V209" s="613"/>
    </row>
    <row r="210" spans="22:22" x14ac:dyDescent="0.25">
      <c r="V210" s="613"/>
    </row>
    <row r="211" spans="22:22" x14ac:dyDescent="0.25">
      <c r="V211" s="613"/>
    </row>
    <row r="212" spans="22:22" x14ac:dyDescent="0.25">
      <c r="V212" s="613"/>
    </row>
    <row r="213" spans="22:22" x14ac:dyDescent="0.25">
      <c r="V213" s="613"/>
    </row>
    <row r="214" spans="22:22" x14ac:dyDescent="0.25">
      <c r="V214" s="613"/>
    </row>
    <row r="215" spans="22:22" x14ac:dyDescent="0.25">
      <c r="V215" s="613"/>
    </row>
    <row r="216" spans="22:22" x14ac:dyDescent="0.25">
      <c r="V216" s="613"/>
    </row>
    <row r="217" spans="22:22" x14ac:dyDescent="0.25">
      <c r="V217" s="613"/>
    </row>
    <row r="218" spans="22:22" x14ac:dyDescent="0.25">
      <c r="V218" s="613"/>
    </row>
    <row r="219" spans="22:22" x14ac:dyDescent="0.25">
      <c r="V219" s="613"/>
    </row>
    <row r="220" spans="22:22" x14ac:dyDescent="0.25">
      <c r="V220" s="613"/>
    </row>
    <row r="221" spans="22:22" x14ac:dyDescent="0.25">
      <c r="V221" s="613"/>
    </row>
    <row r="222" spans="22:22" x14ac:dyDescent="0.25">
      <c r="V222" s="613"/>
    </row>
    <row r="223" spans="22:22" x14ac:dyDescent="0.25">
      <c r="V223" s="613"/>
    </row>
    <row r="224" spans="22:22" x14ac:dyDescent="0.25">
      <c r="V224" s="613"/>
    </row>
    <row r="225" spans="22:22" x14ac:dyDescent="0.25">
      <c r="V225" s="613"/>
    </row>
    <row r="226" spans="22:22" x14ac:dyDescent="0.25">
      <c r="V226" s="613"/>
    </row>
    <row r="227" spans="22:22" x14ac:dyDescent="0.25">
      <c r="V227" s="613"/>
    </row>
    <row r="228" spans="22:22" x14ac:dyDescent="0.25">
      <c r="V228" s="613"/>
    </row>
    <row r="229" spans="22:22" x14ac:dyDescent="0.25">
      <c r="V229" s="613"/>
    </row>
    <row r="230" spans="22:22" x14ac:dyDescent="0.25">
      <c r="V230" s="613"/>
    </row>
    <row r="231" spans="22:22" x14ac:dyDescent="0.25">
      <c r="V231" s="613"/>
    </row>
    <row r="232" spans="22:22" x14ac:dyDescent="0.25">
      <c r="V232" s="613"/>
    </row>
    <row r="233" spans="22:22" x14ac:dyDescent="0.25">
      <c r="V233" s="613"/>
    </row>
    <row r="234" spans="22:22" x14ac:dyDescent="0.25">
      <c r="V234" s="613"/>
    </row>
    <row r="235" spans="22:22" x14ac:dyDescent="0.25">
      <c r="V235" s="613"/>
    </row>
    <row r="236" spans="22:22" x14ac:dyDescent="0.25">
      <c r="V236" s="613"/>
    </row>
    <row r="237" spans="22:22" x14ac:dyDescent="0.25">
      <c r="V237" s="613"/>
    </row>
    <row r="238" spans="22:22" x14ac:dyDescent="0.25">
      <c r="V238" s="613"/>
    </row>
    <row r="239" spans="22:22" x14ac:dyDescent="0.25">
      <c r="V239" s="613"/>
    </row>
    <row r="240" spans="22:22" x14ac:dyDescent="0.25">
      <c r="V240" s="613"/>
    </row>
    <row r="241" spans="22:22" x14ac:dyDescent="0.25">
      <c r="V241" s="613"/>
    </row>
    <row r="242" spans="22:22" x14ac:dyDescent="0.25">
      <c r="V242" s="613"/>
    </row>
    <row r="243" spans="22:22" x14ac:dyDescent="0.25">
      <c r="V243" s="613"/>
    </row>
    <row r="244" spans="22:22" x14ac:dyDescent="0.25">
      <c r="V244" s="613"/>
    </row>
    <row r="245" spans="22:22" x14ac:dyDescent="0.25">
      <c r="V245" s="613"/>
    </row>
    <row r="246" spans="22:22" x14ac:dyDescent="0.25">
      <c r="V246" s="613"/>
    </row>
    <row r="247" spans="22:22" x14ac:dyDescent="0.25">
      <c r="V247" s="613"/>
    </row>
    <row r="248" spans="22:22" x14ac:dyDescent="0.25">
      <c r="V248" s="613"/>
    </row>
    <row r="249" spans="22:22" x14ac:dyDescent="0.25">
      <c r="V249" s="613"/>
    </row>
    <row r="250" spans="22:22" x14ac:dyDescent="0.25">
      <c r="V250" s="613"/>
    </row>
    <row r="251" spans="22:22" x14ac:dyDescent="0.25">
      <c r="V251" s="613"/>
    </row>
    <row r="252" spans="22:22" x14ac:dyDescent="0.25">
      <c r="V252" s="613"/>
    </row>
    <row r="253" spans="22:22" x14ac:dyDescent="0.25">
      <c r="V253" s="613"/>
    </row>
    <row r="254" spans="22:22" x14ac:dyDescent="0.25">
      <c r="V254" s="613"/>
    </row>
    <row r="255" spans="22:22" x14ac:dyDescent="0.25">
      <c r="V255" s="613"/>
    </row>
    <row r="256" spans="22:22" x14ac:dyDescent="0.25">
      <c r="V256" s="613"/>
    </row>
    <row r="257" spans="22:22" x14ac:dyDescent="0.25">
      <c r="V257" s="613"/>
    </row>
    <row r="258" spans="22:22" x14ac:dyDescent="0.25">
      <c r="V258" s="613"/>
    </row>
    <row r="259" spans="22:22" x14ac:dyDescent="0.25">
      <c r="V259" s="613"/>
    </row>
    <row r="260" spans="22:22" x14ac:dyDescent="0.25">
      <c r="V260" s="613"/>
    </row>
    <row r="261" spans="22:22" x14ac:dyDescent="0.25">
      <c r="V261" s="613"/>
    </row>
    <row r="262" spans="22:22" x14ac:dyDescent="0.25">
      <c r="V262" s="613"/>
    </row>
    <row r="263" spans="22:22" x14ac:dyDescent="0.25">
      <c r="V263" s="613"/>
    </row>
    <row r="264" spans="22:22" x14ac:dyDescent="0.25">
      <c r="V264" s="613"/>
    </row>
    <row r="265" spans="22:22" x14ac:dyDescent="0.25">
      <c r="V265" s="613"/>
    </row>
    <row r="266" spans="22:22" x14ac:dyDescent="0.25">
      <c r="V266" s="613"/>
    </row>
    <row r="267" spans="22:22" x14ac:dyDescent="0.25">
      <c r="V267" s="613"/>
    </row>
    <row r="268" spans="22:22" x14ac:dyDescent="0.25">
      <c r="V268" s="613"/>
    </row>
    <row r="269" spans="22:22" x14ac:dyDescent="0.25">
      <c r="V269" s="613"/>
    </row>
    <row r="270" spans="22:22" x14ac:dyDescent="0.25">
      <c r="V270" s="613"/>
    </row>
    <row r="271" spans="22:22" x14ac:dyDescent="0.25">
      <c r="V271" s="613"/>
    </row>
    <row r="272" spans="22:22" x14ac:dyDescent="0.25">
      <c r="V272" s="613"/>
    </row>
    <row r="273" spans="22:22" x14ac:dyDescent="0.25">
      <c r="V273" s="613"/>
    </row>
    <row r="274" spans="22:22" x14ac:dyDescent="0.25">
      <c r="V274" s="613"/>
    </row>
    <row r="275" spans="22:22" x14ac:dyDescent="0.25">
      <c r="V275" s="613"/>
    </row>
    <row r="276" spans="22:22" x14ac:dyDescent="0.25">
      <c r="V276" s="613"/>
    </row>
    <row r="277" spans="22:22" x14ac:dyDescent="0.25">
      <c r="V277" s="613"/>
    </row>
    <row r="278" spans="22:22" x14ac:dyDescent="0.25">
      <c r="V278" s="613"/>
    </row>
    <row r="279" spans="22:22" x14ac:dyDescent="0.25">
      <c r="V279" s="613"/>
    </row>
    <row r="280" spans="22:22" x14ac:dyDescent="0.25">
      <c r="V280" s="613"/>
    </row>
    <row r="281" spans="22:22" x14ac:dyDescent="0.25">
      <c r="V281" s="613"/>
    </row>
    <row r="282" spans="22:22" x14ac:dyDescent="0.25">
      <c r="V282" s="613"/>
    </row>
    <row r="283" spans="22:22" x14ac:dyDescent="0.25">
      <c r="V283" s="613"/>
    </row>
  </sheetData>
  <mergeCells count="3">
    <mergeCell ref="B23:G23"/>
    <mergeCell ref="I23:N23"/>
    <mergeCell ref="O23:T23"/>
  </mergeCells>
  <pageMargins left="0.95" right="0.45" top="0.75" bottom="0.5" header="0.3" footer="0.3"/>
  <pageSetup scale="24" orientation="landscape" r:id="rId1"/>
  <headerFooter>
    <oddFooter>&amp;L&amp;16&amp;D, Page &amp;P&amp;C&amp;16Green Mountain Care Board&amp;R&amp;16&amp;F,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67D58-C467-4A18-BF72-48A69D1CD3C0}">
  <sheetPr>
    <tabColor rgb="FFFFC000"/>
    <pageSetUpPr fitToPage="1"/>
  </sheetPr>
  <dimension ref="B2:K67"/>
  <sheetViews>
    <sheetView showGridLines="0" tabSelected="1" zoomScale="110" zoomScaleNormal="110" workbookViewId="0">
      <selection activeCell="G13" sqref="G13"/>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3" customWidth="1"/>
    <col min="9" max="11" width="17.7109375" style="1" customWidth="1"/>
    <col min="12" max="16384" width="8.85546875" style="1"/>
  </cols>
  <sheetData>
    <row r="2" spans="2:9" x14ac:dyDescent="0.25">
      <c r="B2" s="772" t="s">
        <v>67</v>
      </c>
      <c r="C2" s="772"/>
      <c r="D2" s="772"/>
      <c r="E2" s="772"/>
      <c r="F2" s="772"/>
      <c r="G2" s="772"/>
      <c r="H2" s="772"/>
      <c r="I2" s="772"/>
    </row>
    <row r="3" spans="2:9" ht="18.75" x14ac:dyDescent="0.3">
      <c r="B3" s="788" t="s">
        <v>13</v>
      </c>
      <c r="C3" s="789"/>
      <c r="D3" s="789"/>
      <c r="E3" s="789"/>
      <c r="F3" s="789"/>
      <c r="G3" s="789"/>
      <c r="H3" s="789"/>
      <c r="I3" s="790"/>
    </row>
    <row r="4" spans="2:9" ht="18.75" x14ac:dyDescent="0.3">
      <c r="B4" s="791" t="s">
        <v>68</v>
      </c>
      <c r="C4" s="792"/>
      <c r="D4" s="792"/>
      <c r="E4" s="792"/>
      <c r="F4" s="792"/>
      <c r="G4" s="792"/>
      <c r="H4" s="792"/>
      <c r="I4" s="793"/>
    </row>
    <row r="5" spans="2:9" ht="34.9" customHeight="1" x14ac:dyDescent="0.25">
      <c r="B5" s="787" t="s">
        <v>69</v>
      </c>
      <c r="C5" s="787"/>
      <c r="D5" s="787"/>
      <c r="E5" s="787"/>
      <c r="F5" s="787"/>
      <c r="G5" s="787"/>
      <c r="H5" s="212"/>
    </row>
    <row r="6" spans="2:9" x14ac:dyDescent="0.25">
      <c r="B6" s="213"/>
      <c r="C6" s="213"/>
      <c r="D6" s="213"/>
      <c r="E6" s="213"/>
      <c r="F6" s="213"/>
      <c r="G6" s="213"/>
      <c r="H6" s="212"/>
    </row>
    <row r="7" spans="2:9" ht="29.45" customHeight="1" x14ac:dyDescent="0.25">
      <c r="B7" s="795" t="s">
        <v>70</v>
      </c>
      <c r="C7" s="796"/>
      <c r="D7" s="797"/>
      <c r="H7" s="1"/>
    </row>
    <row r="8" spans="2:9" ht="15" customHeight="1" x14ac:dyDescent="0.25">
      <c r="B8" s="798" t="s">
        <v>71</v>
      </c>
      <c r="C8" s="799"/>
      <c r="D8" s="800"/>
      <c r="H8" s="1"/>
    </row>
    <row r="9" spans="2:9" ht="42.75" customHeight="1" x14ac:dyDescent="0.25">
      <c r="B9" s="3" t="s">
        <v>72</v>
      </c>
      <c r="C9" s="47" t="s">
        <v>73</v>
      </c>
      <c r="D9" s="47" t="s">
        <v>74</v>
      </c>
      <c r="H9" s="1"/>
    </row>
    <row r="10" spans="2:9" x14ac:dyDescent="0.25">
      <c r="B10" s="3"/>
      <c r="C10" s="3"/>
      <c r="D10" s="328"/>
      <c r="H10" s="1"/>
    </row>
    <row r="11" spans="2:9" x14ac:dyDescent="0.25">
      <c r="B11" s="3" t="s">
        <v>75</v>
      </c>
      <c r="C11" s="234">
        <v>-491837</v>
      </c>
      <c r="D11" s="329">
        <v>-2.1999999999999999E-2</v>
      </c>
      <c r="H11" s="1"/>
    </row>
    <row r="12" spans="2:9" x14ac:dyDescent="0.25">
      <c r="B12" s="3" t="s">
        <v>76</v>
      </c>
      <c r="C12" s="234">
        <v>9586238</v>
      </c>
      <c r="D12" s="329">
        <v>0.11</v>
      </c>
      <c r="H12" s="1"/>
    </row>
    <row r="13" spans="2:9" x14ac:dyDescent="0.25">
      <c r="B13" s="3" t="s">
        <v>77</v>
      </c>
      <c r="C13" s="234">
        <v>0</v>
      </c>
      <c r="D13" s="329">
        <v>0</v>
      </c>
      <c r="H13" s="1"/>
    </row>
    <row r="14" spans="2:9" x14ac:dyDescent="0.25">
      <c r="B14" s="3" t="s">
        <v>28</v>
      </c>
      <c r="C14" s="234">
        <v>0</v>
      </c>
      <c r="D14" s="329">
        <v>0</v>
      </c>
      <c r="H14" s="1"/>
    </row>
    <row r="15" spans="2:9" ht="30" x14ac:dyDescent="0.25">
      <c r="B15" s="59" t="s">
        <v>78</v>
      </c>
      <c r="C15" s="235">
        <f>SUM(C11:C14)</f>
        <v>9094401</v>
      </c>
      <c r="D15" s="852">
        <v>8.3000000000000004E-2</v>
      </c>
      <c r="H15" s="1"/>
    </row>
    <row r="16" spans="2:9" s="63" customFormat="1" x14ac:dyDescent="0.25">
      <c r="B16" s="214"/>
      <c r="C16" s="64"/>
      <c r="D16" s="64"/>
      <c r="E16" s="64"/>
      <c r="F16" s="64"/>
      <c r="G16" s="64"/>
      <c r="H16" s="64"/>
    </row>
    <row r="17" spans="2:11" ht="45" customHeight="1" x14ac:dyDescent="0.25">
      <c r="B17" s="795" t="s">
        <v>247</v>
      </c>
      <c r="C17" s="796"/>
      <c r="D17" s="796"/>
      <c r="E17" s="796"/>
      <c r="F17" s="796"/>
      <c r="G17" s="796"/>
      <c r="H17" s="796"/>
      <c r="I17" s="796"/>
      <c r="J17" s="797"/>
    </row>
    <row r="18" spans="2:11" ht="15" customHeight="1" x14ac:dyDescent="0.25">
      <c r="B18" s="798" t="s">
        <v>229</v>
      </c>
      <c r="C18" s="799"/>
      <c r="D18" s="799"/>
      <c r="E18" s="799"/>
      <c r="F18" s="799"/>
      <c r="G18" s="799"/>
      <c r="H18" s="799"/>
      <c r="I18" s="799"/>
      <c r="J18" s="800"/>
    </row>
    <row r="19" spans="2:11" ht="42.75" customHeight="1" x14ac:dyDescent="0.25">
      <c r="B19" s="3" t="s">
        <v>72</v>
      </c>
      <c r="C19" s="765" t="s">
        <v>223</v>
      </c>
      <c r="D19" s="47" t="s">
        <v>79</v>
      </c>
      <c r="E19" s="47" t="s">
        <v>224</v>
      </c>
      <c r="F19" s="806" t="s">
        <v>225</v>
      </c>
      <c r="G19" s="807"/>
      <c r="H19" s="215" t="s">
        <v>226</v>
      </c>
      <c r="I19" s="215" t="s">
        <v>227</v>
      </c>
      <c r="J19" s="215" t="s">
        <v>228</v>
      </c>
    </row>
    <row r="20" spans="2:11" x14ac:dyDescent="0.25">
      <c r="B20" s="3"/>
      <c r="C20" s="47"/>
      <c r="D20" s="216"/>
      <c r="E20" s="47"/>
      <c r="F20" s="47" t="s">
        <v>80</v>
      </c>
      <c r="G20" s="47" t="s">
        <v>81</v>
      </c>
      <c r="H20" s="47"/>
      <c r="I20" s="47"/>
      <c r="J20" s="47"/>
    </row>
    <row r="21" spans="2:11" x14ac:dyDescent="0.25">
      <c r="B21" s="3" t="s">
        <v>75</v>
      </c>
      <c r="C21" s="764">
        <v>22707365</v>
      </c>
      <c r="D21" s="218">
        <f>(E21/C21)-1</f>
        <v>-2.1659800685812747E-2</v>
      </c>
      <c r="E21" s="83">
        <v>22215528</v>
      </c>
      <c r="F21" s="83">
        <v>8955247</v>
      </c>
      <c r="G21" s="83">
        <v>0</v>
      </c>
      <c r="H21" s="83">
        <v>1031580</v>
      </c>
      <c r="I21" s="83">
        <v>2020967</v>
      </c>
      <c r="J21" s="83">
        <v>11660009</v>
      </c>
    </row>
    <row r="22" spans="2:11" x14ac:dyDescent="0.25">
      <c r="B22" s="3" t="s">
        <v>76</v>
      </c>
      <c r="C22" s="764"/>
      <c r="D22" s="218" t="e">
        <f t="shared" ref="D22" si="0">(E22/C22)-1</f>
        <v>#DIV/0!</v>
      </c>
      <c r="E22" s="83">
        <v>96951534</v>
      </c>
      <c r="F22" s="83">
        <v>38233560</v>
      </c>
      <c r="G22" s="83">
        <v>0</v>
      </c>
      <c r="H22" s="83">
        <v>4162413</v>
      </c>
      <c r="I22" s="83">
        <v>19099851</v>
      </c>
      <c r="J22" s="83">
        <v>34003434</v>
      </c>
      <c r="K22" s="111"/>
    </row>
    <row r="23" spans="2:11" x14ac:dyDescent="0.25">
      <c r="B23" s="3" t="s">
        <v>77</v>
      </c>
      <c r="C23" s="217">
        <v>0</v>
      </c>
      <c r="D23" s="218"/>
      <c r="E23" s="83">
        <v>0</v>
      </c>
      <c r="F23" s="83">
        <v>0</v>
      </c>
      <c r="G23" s="83">
        <v>0</v>
      </c>
      <c r="H23" s="83">
        <v>0</v>
      </c>
      <c r="I23" s="83">
        <v>0</v>
      </c>
      <c r="J23" s="83">
        <v>0</v>
      </c>
    </row>
    <row r="24" spans="2:11" x14ac:dyDescent="0.25">
      <c r="B24" s="3" t="s">
        <v>28</v>
      </c>
      <c r="C24" s="217">
        <v>0</v>
      </c>
      <c r="D24" s="218"/>
      <c r="E24" s="83">
        <f t="shared" ref="E24" si="1">SUM(F24:J24)</f>
        <v>0</v>
      </c>
      <c r="F24" s="83"/>
      <c r="G24" s="83"/>
      <c r="H24" s="83"/>
      <c r="I24" s="83"/>
      <c r="J24" s="83"/>
    </row>
    <row r="25" spans="2:11" ht="30" x14ac:dyDescent="0.25">
      <c r="B25" s="59" t="s">
        <v>238</v>
      </c>
      <c r="C25" s="219">
        <f>SUM(C21:C24)</f>
        <v>22707365</v>
      </c>
      <c r="D25" s="220">
        <f>(E25/C25)-1</f>
        <v>4.2479476152340885</v>
      </c>
      <c r="E25" s="219">
        <f t="shared" ref="E25:J25" si="2">SUM(E21:E24)</f>
        <v>119167062</v>
      </c>
      <c r="F25" s="84">
        <f t="shared" si="2"/>
        <v>47188807</v>
      </c>
      <c r="G25" s="84">
        <f t="shared" si="2"/>
        <v>0</v>
      </c>
      <c r="H25" s="84">
        <f t="shared" si="2"/>
        <v>5193993</v>
      </c>
      <c r="I25" s="84">
        <f t="shared" si="2"/>
        <v>21120818</v>
      </c>
      <c r="J25" s="84">
        <f t="shared" si="2"/>
        <v>45663443</v>
      </c>
    </row>
    <row r="26" spans="2:11" s="63" customFormat="1" x14ac:dyDescent="0.25">
      <c r="B26" s="214"/>
      <c r="C26" s="64" t="s">
        <v>244</v>
      </c>
      <c r="D26" s="64"/>
      <c r="E26" s="64" t="s">
        <v>244</v>
      </c>
      <c r="F26" s="64"/>
      <c r="G26" s="64"/>
      <c r="H26" s="64"/>
      <c r="K26" s="1"/>
    </row>
    <row r="27" spans="2:11" s="63" customFormat="1" x14ac:dyDescent="0.25">
      <c r="B27" s="214"/>
      <c r="C27" s="64"/>
      <c r="D27" s="64"/>
      <c r="E27" s="64"/>
      <c r="F27" s="64"/>
      <c r="G27" s="64"/>
      <c r="H27" s="64"/>
    </row>
    <row r="28" spans="2:11" s="63" customFormat="1" ht="23.45" customHeight="1" x14ac:dyDescent="0.25">
      <c r="B28" s="795" t="s">
        <v>82</v>
      </c>
      <c r="C28" s="796"/>
      <c r="D28" s="796"/>
      <c r="E28" s="796"/>
      <c r="F28" s="796"/>
      <c r="G28" s="796"/>
      <c r="H28" s="796"/>
      <c r="I28" s="796"/>
      <c r="J28" s="797"/>
    </row>
    <row r="29" spans="2:11" x14ac:dyDescent="0.25">
      <c r="B29" s="798" t="s">
        <v>221</v>
      </c>
      <c r="C29" s="799"/>
      <c r="D29" s="799"/>
      <c r="E29" s="799"/>
      <c r="F29" s="799"/>
      <c r="G29" s="799"/>
      <c r="H29" s="799"/>
      <c r="I29" s="799"/>
      <c r="J29" s="800"/>
    </row>
    <row r="30" spans="2:11" ht="42.75" customHeight="1" x14ac:dyDescent="0.25">
      <c r="B30" s="3" t="s">
        <v>83</v>
      </c>
      <c r="C30" s="3" t="s">
        <v>84</v>
      </c>
      <c r="D30" s="47" t="s">
        <v>85</v>
      </c>
      <c r="E30" s="47" t="s">
        <v>86</v>
      </c>
      <c r="F30" s="801" t="s">
        <v>230</v>
      </c>
      <c r="G30" s="802"/>
      <c r="H30" s="47" t="s">
        <v>231</v>
      </c>
      <c r="I30" s="47" t="s">
        <v>232</v>
      </c>
      <c r="J30" s="47" t="s">
        <v>233</v>
      </c>
    </row>
    <row r="31" spans="2:11" ht="15.75" customHeight="1" x14ac:dyDescent="0.25">
      <c r="B31" s="3"/>
      <c r="C31" s="3"/>
      <c r="D31" s="3"/>
      <c r="E31" s="47"/>
      <c r="F31" s="47" t="s">
        <v>80</v>
      </c>
      <c r="G31" s="47" t="s">
        <v>81</v>
      </c>
      <c r="H31" s="47"/>
      <c r="I31" s="47"/>
      <c r="J31" s="47"/>
    </row>
    <row r="32" spans="2:11" x14ac:dyDescent="0.25">
      <c r="B32" s="3" t="s">
        <v>75</v>
      </c>
      <c r="C32" s="764">
        <f>ROUND(22707365*0.46,-3)</f>
        <v>10445000</v>
      </c>
      <c r="D32" s="217">
        <f>+E32-C32</f>
        <v>3986000</v>
      </c>
      <c r="E32" s="766">
        <v>14431000</v>
      </c>
      <c r="F32" s="343">
        <f>1601000+4144000</f>
        <v>5745000</v>
      </c>
      <c r="G32" s="343">
        <v>0</v>
      </c>
      <c r="H32" s="343">
        <f>-52000-238000</f>
        <v>-290000</v>
      </c>
      <c r="I32" s="343">
        <v>1338000</v>
      </c>
      <c r="J32" s="343">
        <v>7638000</v>
      </c>
      <c r="K32" s="273"/>
    </row>
    <row r="33" spans="2:11" x14ac:dyDescent="0.25">
      <c r="B33" s="3" t="s">
        <v>76</v>
      </c>
      <c r="C33" s="764">
        <f>50600000-C32</f>
        <v>40155000</v>
      </c>
      <c r="D33" s="217">
        <f>+E33-C33</f>
        <v>-17000</v>
      </c>
      <c r="E33" s="766">
        <v>40138000</v>
      </c>
      <c r="F33" s="343">
        <v>22511000</v>
      </c>
      <c r="G33" s="343">
        <v>0</v>
      </c>
      <c r="H33" s="343">
        <f>576000+66000</f>
        <v>642000</v>
      </c>
      <c r="I33" s="343">
        <v>5177000</v>
      </c>
      <c r="J33" s="343">
        <v>11808000</v>
      </c>
    </row>
    <row r="34" spans="2:11" x14ac:dyDescent="0.25">
      <c r="B34" s="3" t="s">
        <v>77</v>
      </c>
      <c r="C34" s="764">
        <v>0</v>
      </c>
      <c r="D34" s="217">
        <v>0</v>
      </c>
      <c r="E34" s="766">
        <v>0</v>
      </c>
      <c r="F34" s="343">
        <v>0</v>
      </c>
      <c r="G34" s="343">
        <v>0</v>
      </c>
      <c r="H34" s="343">
        <v>0</v>
      </c>
      <c r="I34" s="343">
        <v>0</v>
      </c>
      <c r="J34" s="343">
        <v>0</v>
      </c>
    </row>
    <row r="35" spans="2:11" x14ac:dyDescent="0.25">
      <c r="B35" s="3" t="s">
        <v>28</v>
      </c>
      <c r="C35" s="764">
        <v>0</v>
      </c>
      <c r="D35" s="217">
        <v>0</v>
      </c>
      <c r="E35" s="766">
        <v>0</v>
      </c>
      <c r="F35" s="343">
        <v>0</v>
      </c>
      <c r="G35" s="343">
        <v>0</v>
      </c>
      <c r="H35" s="343">
        <v>0</v>
      </c>
      <c r="I35" s="343">
        <v>0</v>
      </c>
      <c r="J35" s="343">
        <v>0</v>
      </c>
    </row>
    <row r="36" spans="2:11" x14ac:dyDescent="0.25">
      <c r="B36" s="3"/>
      <c r="C36" s="3"/>
      <c r="D36" s="3"/>
      <c r="E36" s="221"/>
      <c r="F36" s="221"/>
      <c r="G36" s="221"/>
      <c r="H36" s="221"/>
      <c r="I36" s="221"/>
      <c r="J36" s="221"/>
    </row>
    <row r="37" spans="2:11" x14ac:dyDescent="0.25">
      <c r="B37" s="3"/>
      <c r="C37" s="3"/>
      <c r="D37" s="3"/>
      <c r="E37" s="221"/>
      <c r="F37" s="221"/>
      <c r="G37" s="221"/>
      <c r="H37" s="221"/>
      <c r="I37" s="221"/>
      <c r="J37" s="221"/>
    </row>
    <row r="38" spans="2:11" x14ac:dyDescent="0.25">
      <c r="B38" s="3"/>
      <c r="C38" s="3"/>
      <c r="D38" s="3"/>
      <c r="E38" s="221"/>
      <c r="F38" s="221"/>
      <c r="G38" s="221"/>
      <c r="H38" s="221"/>
      <c r="I38" s="221"/>
      <c r="J38" s="221"/>
    </row>
    <row r="39" spans="2:11" x14ac:dyDescent="0.25">
      <c r="B39" s="59" t="s">
        <v>237</v>
      </c>
      <c r="C39" s="317">
        <f>SUM(C32:C38)</f>
        <v>50600000</v>
      </c>
      <c r="D39" s="284">
        <f>SUM(D32:D38)</f>
        <v>3969000</v>
      </c>
      <c r="E39" s="284">
        <f t="shared" ref="E39:J39" si="3">SUM(E32:E38)</f>
        <v>54569000</v>
      </c>
      <c r="F39" s="284">
        <f t="shared" si="3"/>
        <v>28256000</v>
      </c>
      <c r="G39" s="284">
        <f t="shared" si="3"/>
        <v>0</v>
      </c>
      <c r="H39" s="284">
        <f t="shared" si="3"/>
        <v>352000</v>
      </c>
      <c r="I39" s="284">
        <f t="shared" si="3"/>
        <v>6515000</v>
      </c>
      <c r="J39" s="284">
        <f t="shared" si="3"/>
        <v>19446000</v>
      </c>
      <c r="K39" s="316">
        <f>SUM(F39:J39)</f>
        <v>54569000</v>
      </c>
    </row>
    <row r="40" spans="2:11" s="63" customFormat="1" x14ac:dyDescent="0.25">
      <c r="E40" s="64"/>
      <c r="F40" s="64"/>
      <c r="G40" s="223"/>
      <c r="H40" s="223"/>
      <c r="K40" s="1"/>
    </row>
    <row r="41" spans="2:11" s="63" customFormat="1" x14ac:dyDescent="0.25">
      <c r="C41" s="64"/>
      <c r="D41" s="64"/>
      <c r="E41" s="64"/>
      <c r="F41" s="223"/>
      <c r="G41" s="223"/>
      <c r="H41" s="223"/>
    </row>
    <row r="42" spans="2:11" s="63" customFormat="1" x14ac:dyDescent="0.25">
      <c r="B42" s="798" t="s">
        <v>222</v>
      </c>
      <c r="C42" s="799"/>
      <c r="D42" s="799"/>
      <c r="E42" s="799"/>
      <c r="F42" s="799"/>
      <c r="G42" s="799"/>
      <c r="H42" s="800"/>
    </row>
    <row r="43" spans="2:11" s="63" customFormat="1" ht="42.6" customHeight="1" x14ac:dyDescent="0.25">
      <c r="B43" s="3" t="s">
        <v>83</v>
      </c>
      <c r="C43" s="3" t="s">
        <v>87</v>
      </c>
      <c r="D43" s="47" t="s">
        <v>85</v>
      </c>
      <c r="E43" s="47" t="s">
        <v>88</v>
      </c>
      <c r="F43" s="248" t="s">
        <v>242</v>
      </c>
      <c r="G43" s="47" t="s">
        <v>234</v>
      </c>
      <c r="H43" s="47" t="s">
        <v>235</v>
      </c>
    </row>
    <row r="44" spans="2:11" s="63" customFormat="1" x14ac:dyDescent="0.25">
      <c r="B44" s="3" t="s">
        <v>75</v>
      </c>
      <c r="C44" s="764"/>
      <c r="D44" s="764">
        <v>0</v>
      </c>
      <c r="E44" s="767">
        <v>0</v>
      </c>
      <c r="F44" s="767">
        <v>0</v>
      </c>
      <c r="G44" s="767">
        <v>0</v>
      </c>
      <c r="H44" s="767">
        <v>0</v>
      </c>
    </row>
    <row r="45" spans="2:11" s="63" customFormat="1" x14ac:dyDescent="0.25">
      <c r="B45" s="3" t="s">
        <v>76</v>
      </c>
      <c r="C45" s="764"/>
      <c r="D45" s="764">
        <v>0</v>
      </c>
      <c r="E45" s="767">
        <v>0</v>
      </c>
      <c r="F45" s="767">
        <v>0</v>
      </c>
      <c r="G45" s="767">
        <v>0</v>
      </c>
      <c r="H45" s="767">
        <v>0</v>
      </c>
    </row>
    <row r="46" spans="2:11" s="63" customFormat="1" x14ac:dyDescent="0.25">
      <c r="B46" s="3" t="s">
        <v>77</v>
      </c>
      <c r="C46" s="764">
        <v>0</v>
      </c>
      <c r="D46" s="764">
        <v>0</v>
      </c>
      <c r="E46" s="767">
        <f t="shared" ref="E46:E47" si="4">SUM(F46:H46)</f>
        <v>0</v>
      </c>
      <c r="F46" s="767">
        <v>0</v>
      </c>
      <c r="G46" s="767">
        <v>0</v>
      </c>
      <c r="H46" s="767">
        <v>0</v>
      </c>
    </row>
    <row r="47" spans="2:11" s="63" customFormat="1" x14ac:dyDescent="0.25">
      <c r="B47" s="3" t="s">
        <v>89</v>
      </c>
      <c r="C47" s="764">
        <v>0</v>
      </c>
      <c r="D47" s="764">
        <v>0</v>
      </c>
      <c r="E47" s="767">
        <f t="shared" si="4"/>
        <v>0</v>
      </c>
      <c r="F47" s="767">
        <v>0</v>
      </c>
      <c r="G47" s="767">
        <v>0</v>
      </c>
      <c r="H47" s="767">
        <v>0</v>
      </c>
    </row>
    <row r="48" spans="2:11" s="63" customFormat="1" x14ac:dyDescent="0.25">
      <c r="B48" s="3" t="s">
        <v>90</v>
      </c>
      <c r="C48" s="764">
        <v>0</v>
      </c>
      <c r="D48" s="764">
        <v>0</v>
      </c>
      <c r="E48" s="767">
        <v>0</v>
      </c>
      <c r="F48" s="767">
        <v>0</v>
      </c>
      <c r="G48" s="767">
        <v>0</v>
      </c>
      <c r="H48" s="767">
        <v>0</v>
      </c>
    </row>
    <row r="49" spans="2:10" s="63" customFormat="1" x14ac:dyDescent="0.25">
      <c r="B49" s="59" t="s">
        <v>236</v>
      </c>
      <c r="C49" s="222">
        <f>SUM(C44:C48)</f>
        <v>0</v>
      </c>
      <c r="D49" s="222">
        <f>SUM(D44:D48)</f>
        <v>0</v>
      </c>
      <c r="E49" s="222">
        <f>SUM(E44:E48)</f>
        <v>0</v>
      </c>
      <c r="F49" s="222">
        <f t="shared" ref="F49:H49" si="5">SUM(F44:F48)</f>
        <v>0</v>
      </c>
      <c r="G49" s="222">
        <f t="shared" si="5"/>
        <v>0</v>
      </c>
      <c r="H49" s="222">
        <f t="shared" si="5"/>
        <v>0</v>
      </c>
    </row>
    <row r="50" spans="2:10" s="63" customFormat="1" x14ac:dyDescent="0.25">
      <c r="C50" s="64"/>
      <c r="D50" s="64"/>
      <c r="E50" s="64"/>
      <c r="F50" s="63" t="s">
        <v>243</v>
      </c>
      <c r="G50" s="223"/>
      <c r="H50" s="223"/>
    </row>
    <row r="51" spans="2:10" s="63" customFormat="1" ht="15.75" thickBot="1" x14ac:dyDescent="0.3">
      <c r="B51" s="212"/>
      <c r="C51" s="223"/>
      <c r="D51" s="223"/>
      <c r="E51" s="223"/>
      <c r="F51" s="223"/>
      <c r="G51" s="223"/>
      <c r="H51" s="223"/>
    </row>
    <row r="52" spans="2:10" s="63" customFormat="1" ht="30" x14ac:dyDescent="0.25">
      <c r="B52" s="224"/>
      <c r="C52" s="225" t="s">
        <v>91</v>
      </c>
      <c r="D52" s="225" t="s">
        <v>85</v>
      </c>
      <c r="E52" s="225" t="s">
        <v>79</v>
      </c>
      <c r="F52" s="226" t="s">
        <v>92</v>
      </c>
      <c r="G52" s="223"/>
      <c r="H52" s="223"/>
      <c r="I52" s="223"/>
    </row>
    <row r="53" spans="2:10" s="63" customFormat="1" x14ac:dyDescent="0.25">
      <c r="B53" s="236" t="s">
        <v>93</v>
      </c>
      <c r="C53" s="286">
        <f>C39+C49</f>
        <v>50600000</v>
      </c>
      <c r="D53" s="286">
        <f>D39+D49</f>
        <v>3969000</v>
      </c>
      <c r="E53" s="288">
        <f>D53/C53</f>
        <v>7.8438735177865607E-2</v>
      </c>
      <c r="F53" s="290">
        <f>E39+E49</f>
        <v>54569000</v>
      </c>
      <c r="G53" s="762" t="s">
        <v>532</v>
      </c>
      <c r="H53" s="223"/>
      <c r="I53" s="223"/>
    </row>
    <row r="54" spans="2:10" s="63" customFormat="1" x14ac:dyDescent="0.25">
      <c r="B54" s="236" t="s">
        <v>94</v>
      </c>
      <c r="C54" s="287">
        <f>+'1. Reconciliation'!C11</f>
        <v>50600312.99999997</v>
      </c>
      <c r="D54" s="287">
        <f>+'1. Reconciliation'!C31</f>
        <v>3968744.0000000298</v>
      </c>
      <c r="E54" s="289">
        <f>+'1. Reconciliation'!C26</f>
        <v>7.8433190719591636E-2</v>
      </c>
      <c r="F54" s="291">
        <f>+'1. Reconciliation'!C23</f>
        <v>54569057</v>
      </c>
      <c r="G54" s="223"/>
      <c r="H54" s="223"/>
      <c r="I54" s="223"/>
    </row>
    <row r="55" spans="2:10" s="63" customFormat="1" ht="18" customHeight="1" thickBot="1" x14ac:dyDescent="0.3">
      <c r="B55" s="237" t="s">
        <v>95</v>
      </c>
      <c r="C55" s="285">
        <f>C53-C54</f>
        <v>-312.99999997019768</v>
      </c>
      <c r="D55" s="238">
        <f t="shared" ref="D55:F55" si="6">D53-D54</f>
        <v>255.99999997019768</v>
      </c>
      <c r="E55" s="238">
        <f t="shared" si="6"/>
        <v>5.5444582739705428E-6</v>
      </c>
      <c r="F55" s="239">
        <f t="shared" si="6"/>
        <v>-57</v>
      </c>
      <c r="G55" s="762" t="s">
        <v>533</v>
      </c>
      <c r="H55" s="223"/>
      <c r="I55" s="223"/>
    </row>
    <row r="56" spans="2:10" s="63" customFormat="1" x14ac:dyDescent="0.25">
      <c r="F56" s="330">
        <v>54568590.725049593</v>
      </c>
      <c r="G56" s="223"/>
      <c r="H56" s="223"/>
      <c r="I56" s="223"/>
      <c r="J56" s="1"/>
    </row>
    <row r="57" spans="2:10" x14ac:dyDescent="0.25">
      <c r="B57" s="227"/>
      <c r="C57" s="228"/>
      <c r="D57" s="229"/>
      <c r="E57" s="230"/>
      <c r="F57" s="230"/>
      <c r="G57" s="230"/>
      <c r="H57" s="231"/>
    </row>
    <row r="58" spans="2:10" x14ac:dyDescent="0.25">
      <c r="B58" s="803" t="s">
        <v>96</v>
      </c>
      <c r="C58" s="804"/>
      <c r="D58" s="804"/>
      <c r="E58" s="804"/>
      <c r="F58" s="804"/>
      <c r="G58" s="805"/>
      <c r="H58" s="231"/>
    </row>
    <row r="59" spans="2:10" x14ac:dyDescent="0.25">
      <c r="B59" s="798" t="s">
        <v>97</v>
      </c>
      <c r="C59" s="799"/>
      <c r="D59" s="799"/>
      <c r="E59" s="799"/>
      <c r="F59" s="799"/>
      <c r="G59" s="800"/>
      <c r="H59" s="232"/>
    </row>
    <row r="60" spans="2:10" x14ac:dyDescent="0.25">
      <c r="B60" s="794" t="s">
        <v>252</v>
      </c>
      <c r="C60" s="794"/>
      <c r="D60" s="794"/>
      <c r="E60" s="794"/>
      <c r="F60" s="794"/>
      <c r="G60" s="794"/>
    </row>
    <row r="61" spans="2:10" x14ac:dyDescent="0.25">
      <c r="B61" s="794"/>
      <c r="C61" s="794"/>
      <c r="D61" s="794"/>
      <c r="E61" s="794"/>
      <c r="F61" s="794"/>
      <c r="G61" s="794"/>
    </row>
    <row r="62" spans="2:10" x14ac:dyDescent="0.25">
      <c r="B62" s="794"/>
      <c r="C62" s="794"/>
      <c r="D62" s="794"/>
      <c r="E62" s="794"/>
      <c r="F62" s="794"/>
      <c r="G62" s="794"/>
    </row>
    <row r="63" spans="2:10" x14ac:dyDescent="0.25">
      <c r="B63" s="794"/>
      <c r="C63" s="794"/>
      <c r="D63" s="794"/>
      <c r="E63" s="794"/>
      <c r="F63" s="794"/>
      <c r="G63" s="794"/>
    </row>
    <row r="64" spans="2:10" x14ac:dyDescent="0.25">
      <c r="B64" s="794"/>
      <c r="C64" s="794"/>
      <c r="D64" s="794"/>
      <c r="E64" s="794"/>
      <c r="F64" s="794"/>
      <c r="G64" s="794"/>
    </row>
    <row r="67" spans="3:3" x14ac:dyDescent="0.25">
      <c r="C67" s="20"/>
    </row>
  </sheetData>
  <mergeCells count="16">
    <mergeCell ref="B5:G5"/>
    <mergeCell ref="B2:I2"/>
    <mergeCell ref="B3:I3"/>
    <mergeCell ref="B4:I4"/>
    <mergeCell ref="B60:G64"/>
    <mergeCell ref="B7:D7"/>
    <mergeCell ref="B29:J29"/>
    <mergeCell ref="F30:G30"/>
    <mergeCell ref="B42:H42"/>
    <mergeCell ref="B58:G58"/>
    <mergeCell ref="B59:G59"/>
    <mergeCell ref="B17:J17"/>
    <mergeCell ref="F19:G19"/>
    <mergeCell ref="B28:J28"/>
    <mergeCell ref="B18:J18"/>
    <mergeCell ref="B8:D8"/>
  </mergeCells>
  <pageMargins left="0.7" right="0.7" top="0.75" bottom="0.75" header="0.3" footer="0.3"/>
  <pageSetup scale="54" orientation="landscape" r:id="rId1"/>
  <headerFooter>
    <oddFooter>&amp;L&amp;D&amp;R&amp;F,&amp;A,</oddFooter>
  </headerFooter>
  <ignoredErrors>
    <ignoredError sqref="E53 E55"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377F-67C6-4814-9847-6B64740DD444}">
  <sheetPr>
    <tabColor rgb="FFFFC000"/>
    <pageSetUpPr fitToPage="1"/>
  </sheetPr>
  <dimension ref="B1:Q44"/>
  <sheetViews>
    <sheetView showGridLines="0" zoomScale="110" zoomScaleNormal="110" workbookViewId="0">
      <selection activeCell="G29" sqref="G29"/>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5" width="15.28515625" style="1" bestFit="1" customWidth="1"/>
    <col min="6" max="11" width="8.85546875" style="1"/>
    <col min="12" max="12" width="16.5703125" style="107" customWidth="1"/>
    <col min="13" max="13" width="10.5703125" style="107" customWidth="1"/>
    <col min="14" max="14" width="14.42578125" style="107" customWidth="1"/>
    <col min="15" max="15" width="10.85546875" style="107" customWidth="1"/>
    <col min="16" max="16" width="12.28515625" style="107" bestFit="1" customWidth="1"/>
    <col min="17" max="17" width="8.85546875" style="107"/>
    <col min="18" max="16384" width="8.85546875" style="1"/>
  </cols>
  <sheetData>
    <row r="1" spans="2:14" x14ac:dyDescent="0.25">
      <c r="B1" s="808" t="s">
        <v>98</v>
      </c>
      <c r="C1" s="808"/>
      <c r="D1" s="808"/>
    </row>
    <row r="2" spans="2:14" ht="21" x14ac:dyDescent="0.35">
      <c r="B2" s="809" t="s">
        <v>5</v>
      </c>
      <c r="C2" s="810"/>
      <c r="D2" s="811"/>
    </row>
    <row r="3" spans="2:14" ht="18.75" x14ac:dyDescent="0.3">
      <c r="B3" s="813" t="s">
        <v>99</v>
      </c>
      <c r="C3" s="814"/>
      <c r="D3" s="815"/>
    </row>
    <row r="4" spans="2:14" ht="79.5" customHeight="1" x14ac:dyDescent="0.25">
      <c r="B4" s="812" t="s">
        <v>239</v>
      </c>
      <c r="C4" s="812"/>
      <c r="D4" s="812"/>
    </row>
    <row r="5" spans="2:14" x14ac:dyDescent="0.25">
      <c r="B5" s="756"/>
      <c r="C5" s="757"/>
      <c r="D5" s="757"/>
    </row>
    <row r="6" spans="2:14" x14ac:dyDescent="0.25">
      <c r="B6" s="817" t="s">
        <v>100</v>
      </c>
      <c r="C6" s="816" t="s">
        <v>101</v>
      </c>
      <c r="D6" s="816" t="s">
        <v>102</v>
      </c>
      <c r="F6" s="1" t="s">
        <v>531</v>
      </c>
    </row>
    <row r="7" spans="2:14" x14ac:dyDescent="0.25">
      <c r="B7" s="817"/>
      <c r="C7" s="816"/>
      <c r="D7" s="816"/>
      <c r="F7" s="1" t="s">
        <v>520</v>
      </c>
      <c r="L7" s="757"/>
      <c r="M7" s="757"/>
    </row>
    <row r="8" spans="2:14" x14ac:dyDescent="0.25">
      <c r="B8" s="81" t="s">
        <v>22</v>
      </c>
      <c r="C8" s="265">
        <v>1</v>
      </c>
      <c r="D8" s="266">
        <f>+'2. Charge and NPR Detail'!C21+'2. Charge and NPR Detail'!C22</f>
        <v>22707365</v>
      </c>
      <c r="F8" s="1">
        <v>-2693376.1722903512</v>
      </c>
      <c r="G8" s="1" t="s">
        <v>429</v>
      </c>
      <c r="N8" s="758"/>
    </row>
    <row r="9" spans="2:14" x14ac:dyDescent="0.25">
      <c r="B9" s="325" t="s">
        <v>523</v>
      </c>
      <c r="C9" s="326">
        <v>-0.3</v>
      </c>
      <c r="D9" s="327">
        <v>-2478114</v>
      </c>
      <c r="F9" s="1">
        <v>-1353464.8556866348</v>
      </c>
      <c r="G9" s="1" t="s">
        <v>430</v>
      </c>
      <c r="N9" s="758"/>
    </row>
    <row r="10" spans="2:14" x14ac:dyDescent="0.25">
      <c r="B10" s="325" t="s">
        <v>259</v>
      </c>
      <c r="C10" s="326">
        <v>-0.33</v>
      </c>
      <c r="D10" s="327">
        <v>-1299571</v>
      </c>
      <c r="F10" s="1">
        <v>1331892.7565899752</v>
      </c>
      <c r="G10" s="1" t="s">
        <v>77</v>
      </c>
      <c r="I10" s="1">
        <f>SUM(F9:F10)</f>
        <v>-21572.099096659571</v>
      </c>
      <c r="N10" s="758"/>
    </row>
    <row r="11" spans="2:14" x14ac:dyDescent="0.25">
      <c r="B11" s="325" t="s">
        <v>260</v>
      </c>
      <c r="C11" s="326">
        <v>-0.42</v>
      </c>
      <c r="D11" s="327">
        <v>596404</v>
      </c>
      <c r="F11" s="2">
        <v>-2714948.2713870108</v>
      </c>
      <c r="N11" s="758"/>
    </row>
    <row r="12" spans="2:14" x14ac:dyDescent="0.25">
      <c r="B12" s="325" t="s">
        <v>524</v>
      </c>
      <c r="C12" s="326">
        <v>0.19</v>
      </c>
      <c r="D12" s="327">
        <v>713911</v>
      </c>
      <c r="N12" s="758"/>
    </row>
    <row r="13" spans="2:14" x14ac:dyDescent="0.25">
      <c r="B13" s="325" t="s">
        <v>261</v>
      </c>
      <c r="C13" s="326"/>
      <c r="D13" s="327">
        <f>+F8-SUM(D9:D12)</f>
        <v>-226006.17229035124</v>
      </c>
      <c r="N13" s="758"/>
    </row>
    <row r="14" spans="2:14" x14ac:dyDescent="0.25">
      <c r="B14" s="325"/>
      <c r="C14" s="326"/>
      <c r="D14" s="327"/>
      <c r="N14" s="758"/>
    </row>
    <row r="15" spans="2:14" x14ac:dyDescent="0.25">
      <c r="B15" s="325"/>
      <c r="C15" s="326"/>
      <c r="D15" s="327"/>
      <c r="N15" s="758"/>
    </row>
    <row r="16" spans="2:14" x14ac:dyDescent="0.25">
      <c r="B16" s="325"/>
      <c r="C16" s="326"/>
      <c r="D16" s="327"/>
      <c r="N16" s="758"/>
    </row>
    <row r="17" spans="2:16" x14ac:dyDescent="0.25">
      <c r="B17" s="325" t="s">
        <v>262</v>
      </c>
      <c r="C17" s="326"/>
      <c r="D17" s="327"/>
      <c r="N17" s="758"/>
    </row>
    <row r="18" spans="2:16" x14ac:dyDescent="0.25">
      <c r="B18" s="325" t="s">
        <v>263</v>
      </c>
      <c r="C18" s="326">
        <v>0.03</v>
      </c>
      <c r="D18" s="327">
        <v>401413</v>
      </c>
      <c r="N18" s="758"/>
    </row>
    <row r="19" spans="2:16" x14ac:dyDescent="0.25">
      <c r="B19" s="325" t="s">
        <v>530</v>
      </c>
      <c r="C19" s="326">
        <v>0.04</v>
      </c>
      <c r="D19" s="327">
        <v>416231</v>
      </c>
      <c r="E19" s="1" t="s">
        <v>529</v>
      </c>
      <c r="N19" s="758"/>
    </row>
    <row r="20" spans="2:16" x14ac:dyDescent="0.25">
      <c r="B20" s="325" t="s">
        <v>264</v>
      </c>
      <c r="C20" s="326">
        <v>-0.16</v>
      </c>
      <c r="D20" s="327">
        <v>-2701558</v>
      </c>
      <c r="N20" s="758"/>
    </row>
    <row r="21" spans="2:16" x14ac:dyDescent="0.25">
      <c r="B21" s="325" t="s">
        <v>265</v>
      </c>
      <c r="C21" s="754">
        <v>0.13</v>
      </c>
      <c r="D21" s="327">
        <v>608589</v>
      </c>
      <c r="N21" s="758"/>
      <c r="P21" s="759"/>
    </row>
    <row r="22" spans="2:16" x14ac:dyDescent="0.25">
      <c r="B22" s="325" t="s">
        <v>266</v>
      </c>
      <c r="C22" s="754"/>
      <c r="D22" s="327">
        <v>197884</v>
      </c>
      <c r="N22" s="758"/>
      <c r="P22" s="759"/>
    </row>
    <row r="23" spans="2:16" x14ac:dyDescent="0.25">
      <c r="B23" s="325" t="s">
        <v>525</v>
      </c>
      <c r="C23" s="326">
        <v>0.12</v>
      </c>
      <c r="D23" s="327">
        <v>1331893</v>
      </c>
      <c r="N23" s="758"/>
    </row>
    <row r="24" spans="2:16" x14ac:dyDescent="0.25">
      <c r="B24" s="325" t="s">
        <v>526</v>
      </c>
      <c r="C24" s="326">
        <v>-0.35</v>
      </c>
      <c r="D24" s="327">
        <v>-745037</v>
      </c>
      <c r="E24" s="1" t="s">
        <v>527</v>
      </c>
      <c r="N24" s="758"/>
    </row>
    <row r="25" spans="2:16" x14ac:dyDescent="0.25">
      <c r="B25" s="325" t="s">
        <v>528</v>
      </c>
      <c r="C25" s="326">
        <v>-0.24</v>
      </c>
      <c r="D25" s="327">
        <v>295251</v>
      </c>
      <c r="N25" s="758"/>
    </row>
    <row r="26" spans="2:16" x14ac:dyDescent="0.25">
      <c r="B26" s="325" t="s">
        <v>267</v>
      </c>
      <c r="C26" s="326"/>
      <c r="D26" s="327">
        <f>+$I$10-SUM(D17:D25)</f>
        <v>173761.90090334043</v>
      </c>
      <c r="N26" s="758"/>
      <c r="O26" s="758"/>
      <c r="P26" s="759"/>
    </row>
    <row r="27" spans="2:16" x14ac:dyDescent="0.25">
      <c r="B27" s="325"/>
      <c r="C27" s="326"/>
      <c r="D27" s="327"/>
      <c r="N27" s="758"/>
      <c r="O27" s="760"/>
    </row>
    <row r="28" spans="2:16" x14ac:dyDescent="0.25">
      <c r="B28" s="3"/>
      <c r="C28" s="48"/>
      <c r="D28" s="267"/>
      <c r="N28" s="758"/>
      <c r="O28" s="760"/>
      <c r="P28" s="759"/>
    </row>
    <row r="29" spans="2:16" x14ac:dyDescent="0.25">
      <c r="B29" s="81" t="s">
        <v>29</v>
      </c>
      <c r="C29" s="265">
        <f>SUM(C8:C28)</f>
        <v>-0.29000000000000004</v>
      </c>
      <c r="D29" s="266">
        <f>SUM(D8:D28)</f>
        <v>19992416.728612989</v>
      </c>
      <c r="E29" s="293">
        <f>+'INCOME STATEMENT 0% INCR HIDE'!H6</f>
        <v>107357712.72861299</v>
      </c>
      <c r="O29" s="760"/>
      <c r="P29" s="759"/>
    </row>
    <row r="30" spans="2:16" x14ac:dyDescent="0.25">
      <c r="B30" s="77"/>
      <c r="C30" s="43"/>
      <c r="D30" s="43"/>
      <c r="O30" s="760"/>
      <c r="P30" s="759"/>
    </row>
    <row r="31" spans="2:16" x14ac:dyDescent="0.25">
      <c r="B31" s="28" t="s">
        <v>103</v>
      </c>
      <c r="C31" s="103"/>
      <c r="D31" s="82">
        <f>+D29-D8</f>
        <v>-2714948.2713870108</v>
      </c>
      <c r="O31" s="760"/>
    </row>
    <row r="32" spans="2:16" x14ac:dyDescent="0.25">
      <c r="B32" s="28" t="s">
        <v>104</v>
      </c>
      <c r="C32" s="755">
        <f>+D31/D8</f>
        <v>-0.11956245347652671</v>
      </c>
      <c r="D32" s="104"/>
      <c r="O32" s="760"/>
    </row>
    <row r="33" spans="2:16" x14ac:dyDescent="0.25">
      <c r="B33" s="77" t="s">
        <v>105</v>
      </c>
      <c r="D33" s="292"/>
      <c r="N33" s="760"/>
      <c r="O33" s="760"/>
    </row>
    <row r="36" spans="2:16" x14ac:dyDescent="0.25">
      <c r="L36" s="757"/>
      <c r="M36" s="757"/>
      <c r="O36" s="758"/>
    </row>
    <row r="37" spans="2:16" x14ac:dyDescent="0.25">
      <c r="M37" s="761"/>
      <c r="N37" s="758"/>
      <c r="O37" s="760"/>
    </row>
    <row r="38" spans="2:16" x14ac:dyDescent="0.25">
      <c r="M38" s="761"/>
      <c r="N38" s="758"/>
      <c r="O38" s="760"/>
    </row>
    <row r="39" spans="2:16" x14ac:dyDescent="0.25">
      <c r="M39" s="761"/>
      <c r="N39" s="758"/>
      <c r="O39" s="760"/>
    </row>
    <row r="40" spans="2:16" x14ac:dyDescent="0.25">
      <c r="M40" s="761"/>
      <c r="N40" s="758"/>
      <c r="O40" s="760"/>
    </row>
    <row r="41" spans="2:16" x14ac:dyDescent="0.25">
      <c r="M41" s="761"/>
      <c r="N41" s="758"/>
      <c r="O41" s="760"/>
    </row>
    <row r="42" spans="2:16" x14ac:dyDescent="0.25">
      <c r="M42" s="761"/>
      <c r="N42" s="758"/>
      <c r="O42" s="760"/>
    </row>
    <row r="43" spans="2:16" x14ac:dyDescent="0.25">
      <c r="M43" s="761"/>
      <c r="N43" s="758"/>
      <c r="O43" s="760"/>
    </row>
    <row r="44" spans="2:16" x14ac:dyDescent="0.25">
      <c r="N44" s="758"/>
      <c r="O44" s="760"/>
      <c r="P44" s="760"/>
    </row>
  </sheetData>
  <mergeCells count="7">
    <mergeCell ref="B1:D1"/>
    <mergeCell ref="B2:D2"/>
    <mergeCell ref="B4:D4"/>
    <mergeCell ref="B3:D3"/>
    <mergeCell ref="C6:C7"/>
    <mergeCell ref="B6:B7"/>
    <mergeCell ref="D6:D7"/>
  </mergeCells>
  <pageMargins left="0.7" right="0.7" top="0.75" bottom="0.75" header="0.3" footer="0.3"/>
  <pageSetup scale="99" orientation="landscape" r:id="rId1"/>
  <headerFooter>
    <oddFooter>&amp;L&amp;D&amp;R&amp;F,&amp;A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0016-BEB2-4D6F-9A07-9EEF1E62C0DE}">
  <sheetPr>
    <tabColor rgb="FFFFC000"/>
  </sheetPr>
  <dimension ref="B1:L22"/>
  <sheetViews>
    <sheetView showGridLines="0" zoomScale="90" zoomScaleNormal="90" workbookViewId="0">
      <selection activeCell="E8" sqref="E8:E15"/>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 min="9" max="9" width="14.85546875" customWidth="1"/>
    <col min="11" max="11" width="13.28515625" bestFit="1" customWidth="1"/>
  </cols>
  <sheetData>
    <row r="1" spans="2:12" x14ac:dyDescent="0.25">
      <c r="B1" s="772" t="s">
        <v>106</v>
      </c>
      <c r="C1" s="772"/>
      <c r="D1" s="772"/>
      <c r="E1" s="772"/>
      <c r="F1" s="772"/>
      <c r="G1" s="772"/>
    </row>
    <row r="2" spans="2:12" ht="18.75" x14ac:dyDescent="0.3">
      <c r="B2" s="819" t="s">
        <v>13</v>
      </c>
      <c r="C2" s="820"/>
      <c r="D2" s="820"/>
      <c r="E2" s="820"/>
      <c r="F2" s="820"/>
      <c r="G2" s="821"/>
    </row>
    <row r="3" spans="2:12" ht="18.75" x14ac:dyDescent="0.3">
      <c r="B3" s="813" t="s">
        <v>107</v>
      </c>
      <c r="C3" s="814"/>
      <c r="D3" s="814"/>
      <c r="E3" s="814"/>
      <c r="F3" s="814"/>
      <c r="G3" s="815"/>
    </row>
    <row r="4" spans="2:12" ht="63" customHeight="1" x14ac:dyDescent="0.25">
      <c r="B4" s="822" t="s">
        <v>217</v>
      </c>
      <c r="C4" s="822"/>
      <c r="D4" s="822"/>
      <c r="E4" s="822"/>
      <c r="F4" s="822"/>
      <c r="G4" s="822"/>
    </row>
    <row r="5" spans="2:12" ht="17.45" customHeight="1" x14ac:dyDescent="0.25">
      <c r="B5" s="46" t="s">
        <v>108</v>
      </c>
      <c r="C5" s="823" t="s">
        <v>109</v>
      </c>
      <c r="D5" s="824"/>
      <c r="E5" s="824"/>
      <c r="F5" s="825"/>
      <c r="G5" s="58" t="s">
        <v>110</v>
      </c>
    </row>
    <row r="6" spans="2:12" ht="31.5" customHeight="1" x14ac:dyDescent="0.25">
      <c r="B6" s="16"/>
      <c r="C6" s="49" t="s">
        <v>111</v>
      </c>
      <c r="D6" s="50" t="s">
        <v>112</v>
      </c>
      <c r="E6" s="240" t="s">
        <v>113</v>
      </c>
      <c r="F6" s="240" t="s">
        <v>245</v>
      </c>
      <c r="G6" s="16"/>
    </row>
    <row r="7" spans="2:12" ht="31.5" customHeight="1" x14ac:dyDescent="0.25">
      <c r="B7" s="241" t="s">
        <v>114</v>
      </c>
      <c r="C7" s="242">
        <v>0.02</v>
      </c>
      <c r="D7" s="243">
        <v>500000</v>
      </c>
      <c r="E7" s="244">
        <v>0.6</v>
      </c>
      <c r="F7" s="245">
        <f>C7*E7</f>
        <v>1.2E-2</v>
      </c>
      <c r="G7" s="241" t="s">
        <v>115</v>
      </c>
    </row>
    <row r="8" spans="2:12" ht="27" customHeight="1" x14ac:dyDescent="0.25">
      <c r="B8" s="29" t="s">
        <v>116</v>
      </c>
      <c r="C8" s="337"/>
      <c r="D8" s="340"/>
      <c r="E8" s="337"/>
      <c r="F8" s="339"/>
      <c r="G8" s="341"/>
      <c r="J8" t="s">
        <v>255</v>
      </c>
      <c r="K8" s="294">
        <v>0.02</v>
      </c>
      <c r="L8" t="s">
        <v>256</v>
      </c>
    </row>
    <row r="9" spans="2:12" ht="27" customHeight="1" x14ac:dyDescent="0.25">
      <c r="B9" s="29" t="s">
        <v>117</v>
      </c>
      <c r="C9" s="337">
        <v>6.3E-2</v>
      </c>
      <c r="D9" s="338">
        <f>1131308-736939</f>
        <v>394369</v>
      </c>
      <c r="E9" s="337">
        <f t="shared" ref="E9:E15" si="0">+D9/$D$16</f>
        <v>0.46777729014198111</v>
      </c>
      <c r="F9" s="339">
        <f t="shared" ref="F9:F15" si="1">C9*E9</f>
        <v>2.946996927894481E-2</v>
      </c>
      <c r="G9" s="342" t="s">
        <v>305</v>
      </c>
      <c r="I9" t="s">
        <v>257</v>
      </c>
      <c r="K9" s="295">
        <v>3375812</v>
      </c>
    </row>
    <row r="10" spans="2:12" ht="27" customHeight="1" x14ac:dyDescent="0.25">
      <c r="B10" s="29" t="s">
        <v>47</v>
      </c>
      <c r="C10" s="337">
        <v>0.17299999999999999</v>
      </c>
      <c r="D10" s="338">
        <v>91494</v>
      </c>
      <c r="E10" s="337">
        <f t="shared" si="0"/>
        <v>0.10852479628026143</v>
      </c>
      <c r="F10" s="339">
        <f t="shared" si="1"/>
        <v>1.8774789756485225E-2</v>
      </c>
      <c r="G10" s="29" t="s">
        <v>303</v>
      </c>
      <c r="K10" s="294"/>
    </row>
    <row r="11" spans="2:12" ht="27" customHeight="1" x14ac:dyDescent="0.25">
      <c r="B11" s="29" t="s">
        <v>118</v>
      </c>
      <c r="C11" s="337">
        <v>1.7299999999999999E-2</v>
      </c>
      <c r="D11" s="338">
        <v>164846</v>
      </c>
      <c r="E11" s="337">
        <f t="shared" si="0"/>
        <v>0.19553062023319534</v>
      </c>
      <c r="F11" s="339">
        <f t="shared" si="1"/>
        <v>3.3826797300342791E-3</v>
      </c>
      <c r="G11" s="29"/>
      <c r="I11" t="s">
        <v>258</v>
      </c>
      <c r="K11" s="21">
        <v>-944785</v>
      </c>
    </row>
    <row r="12" spans="2:12" ht="27" customHeight="1" x14ac:dyDescent="0.25">
      <c r="B12" s="29" t="s">
        <v>119</v>
      </c>
      <c r="C12" s="337"/>
      <c r="D12" s="338"/>
      <c r="E12" s="337">
        <f t="shared" si="0"/>
        <v>0</v>
      </c>
      <c r="F12" s="339">
        <f t="shared" si="1"/>
        <v>0</v>
      </c>
      <c r="G12" s="29"/>
      <c r="K12" s="294"/>
    </row>
    <row r="13" spans="2:12" ht="27" customHeight="1" x14ac:dyDescent="0.25">
      <c r="B13" s="29" t="s">
        <v>289</v>
      </c>
      <c r="C13" s="337">
        <v>9.0999999999999998E-2</v>
      </c>
      <c r="D13" s="338">
        <v>192361</v>
      </c>
      <c r="E13" s="337">
        <f t="shared" si="0"/>
        <v>0.22816729334456215</v>
      </c>
      <c r="F13" s="339">
        <f t="shared" si="1"/>
        <v>2.0763223694355154E-2</v>
      </c>
      <c r="G13" s="29"/>
      <c r="K13" s="294"/>
    </row>
    <row r="14" spans="2:12" ht="27" customHeight="1" x14ac:dyDescent="0.25">
      <c r="B14" s="29" t="s">
        <v>254</v>
      </c>
      <c r="C14" s="337"/>
      <c r="D14" s="338"/>
      <c r="E14" s="337">
        <f t="shared" si="0"/>
        <v>0</v>
      </c>
      <c r="F14" s="339">
        <f t="shared" si="1"/>
        <v>0</v>
      </c>
      <c r="G14" s="29"/>
      <c r="K14" s="294"/>
    </row>
    <row r="15" spans="2:12" ht="27" customHeight="1" x14ac:dyDescent="0.25">
      <c r="B15" s="29" t="s">
        <v>120</v>
      </c>
      <c r="C15" s="49"/>
      <c r="D15" s="50"/>
      <c r="E15" s="49">
        <f t="shared" si="0"/>
        <v>0</v>
      </c>
      <c r="F15" s="9">
        <f t="shared" si="1"/>
        <v>0</v>
      </c>
      <c r="G15" s="16"/>
    </row>
    <row r="16" spans="2:12" x14ac:dyDescent="0.25">
      <c r="B16" s="11" t="s">
        <v>18</v>
      </c>
      <c r="C16" s="79" t="s">
        <v>121</v>
      </c>
      <c r="D16" s="80">
        <f>SUM(D8:D15)</f>
        <v>843070</v>
      </c>
      <c r="E16" s="335">
        <f>SUM(E8:E15)</f>
        <v>1</v>
      </c>
      <c r="F16" s="80" t="s">
        <v>121</v>
      </c>
      <c r="G16" s="11"/>
    </row>
    <row r="17" spans="2:6" x14ac:dyDescent="0.25">
      <c r="B17" s="18"/>
      <c r="E17" t="s">
        <v>122</v>
      </c>
    </row>
    <row r="19" spans="2:6" x14ac:dyDescent="0.25">
      <c r="B19" s="818" t="s">
        <v>123</v>
      </c>
      <c r="C19" s="818"/>
      <c r="D19" s="818"/>
      <c r="E19" s="818"/>
      <c r="F19" s="249"/>
    </row>
    <row r="21" spans="2:6" x14ac:dyDescent="0.25">
      <c r="C21" s="345"/>
    </row>
    <row r="22" spans="2:6" x14ac:dyDescent="0.25">
      <c r="C22" s="345"/>
    </row>
  </sheetData>
  <mergeCells count="6">
    <mergeCell ref="B19:E19"/>
    <mergeCell ref="B1:G1"/>
    <mergeCell ref="B2:G2"/>
    <mergeCell ref="B4:G4"/>
    <mergeCell ref="C5:F5"/>
    <mergeCell ref="B3:G3"/>
  </mergeCells>
  <pageMargins left="0.7" right="0.7" top="0.75" bottom="0.75" header="0.3" footer="0.3"/>
  <pageSetup orientation="landscape" r:id="rId1"/>
  <headerFooter>
    <oddFooter>&amp;L&amp;D&amp;R&amp;F,&amp;A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0" ma:contentTypeDescription="Create a new document." ma:contentTypeScope="" ma:versionID="1278417fdb9f8493a22335f0e63ebd5c">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495da0a1964501ca35e461a3d0667575"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D8BEBE-0F29-4D55-84E7-679A65C3B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FDD72E-62BB-4083-B4E4-70A11D422880}">
  <ds:schemaRef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18dbc17e-cec9-4211-a89f-0bf74a616302"/>
    <ds:schemaRef ds:uri="http://purl.org/dc/terms/"/>
    <ds:schemaRef ds:uri="http://purl.org/dc/elements/1.1/"/>
    <ds:schemaRef ds:uri="http://schemas.openxmlformats.org/package/2006/metadata/core-properties"/>
    <ds:schemaRef ds:uri="2819d22d-c924-42b3-954a-d3b43813cc67"/>
    <ds:schemaRef ds:uri="http://purl.org/dc/dcmitype/"/>
  </ds:schemaRefs>
</ds:datastoreItem>
</file>

<file path=customXml/itemProps3.xml><?xml version="1.0" encoding="utf-8"?>
<ds:datastoreItem xmlns:ds="http://schemas.openxmlformats.org/officeDocument/2006/customXml" ds:itemID="{BC35E319-B666-43F5-B785-F40D79B223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Overview</vt:lpstr>
      <vt:lpstr>1. Reconciliation</vt:lpstr>
      <vt:lpstr>INCOME STATEMENT 0% INCR HIDE</vt:lpstr>
      <vt:lpstr>Bud to Bud Sum by Payer HIDE</vt:lpstr>
      <vt:lpstr>FY22 Net Rev Bud HIDE</vt:lpstr>
      <vt:lpstr>FY21 Bud Payer Mix HIDE</vt:lpstr>
      <vt:lpstr>2. Charge and NPR Detail</vt:lpstr>
      <vt:lpstr>3. Utilization</vt:lpstr>
      <vt:lpstr>4. Inflation</vt:lpstr>
      <vt:lpstr>5. Vaccine Clinics and Testing</vt:lpstr>
      <vt:lpstr>6. Value Based Care Participati</vt:lpstr>
      <vt:lpstr>7.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Vaccine Clinics and Testing'!Print_Area</vt:lpstr>
      <vt:lpstr>'6. Value Based Care Participati'!Print_Area</vt:lpstr>
      <vt:lpstr>'Bud to Bud Sum by Payer HIDE'!Print_Area</vt:lpstr>
      <vt:lpstr>'FY21 Bud Payer Mix HIDE'!Print_Area</vt:lpstr>
      <vt:lpstr>'INCOME STATEMENT 0% INCR HIDE'!Print_Area</vt:lpstr>
      <vt:lpstr>Overview!Print_Area</vt:lpstr>
      <vt:lpstr>'1. Reconciliation'!Print_Titles</vt:lpstr>
      <vt:lpstr>'Bud to Bud Sum by Payer HIDE'!Print_Titles</vt:lpstr>
      <vt:lpstr>'FY21 Bud Payer Mix HIDE'!Print_Titles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Perry, Lori</cp:lastModifiedBy>
  <cp:revision/>
  <cp:lastPrinted>2021-03-15T17:17:47Z</cp:lastPrinted>
  <dcterms:created xsi:type="dcterms:W3CDTF">2020-01-09T18:52:12Z</dcterms:created>
  <dcterms:modified xsi:type="dcterms:W3CDTF">2021-07-09T18:28:20Z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