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odernization Project\Modernization Project CON\Mod Project-Responses To GMCB\CON Response 3 Final\"/>
    </mc:Choice>
  </mc:AlternateContent>
  <bookViews>
    <workbookView xWindow="7368" yWindow="36" windowWidth="15636" windowHeight="9048" activeTab="1"/>
  </bookViews>
  <sheets>
    <sheet name="GMCB Table 1" sheetId="3" r:id="rId1"/>
    <sheet name="Summary" sheetId="2" r:id="rId2"/>
    <sheet name="HPC Div est" sheetId="4" r:id="rId3"/>
  </sheets>
  <externalReferences>
    <externalReference r:id="rId4"/>
  </externalReferences>
  <definedNames>
    <definedName name="completedate">#REF!</definedName>
    <definedName name="_xlnm.Print_Titles" localSheetId="2">'HPC Div est'!$6:$16</definedName>
    <definedName name="_xlnm.Print_Titles" localSheetId="1">Summary!$1:$6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3" i="4" l="1"/>
  <c r="C142" i="4"/>
  <c r="C141" i="4"/>
  <c r="L132" i="4"/>
  <c r="G132" i="4"/>
  <c r="M124" i="4"/>
  <c r="M119" i="4"/>
  <c r="M109" i="4"/>
  <c r="M107" i="4"/>
  <c r="M102" i="4"/>
  <c r="M97" i="4"/>
  <c r="M88" i="4"/>
  <c r="M86" i="4"/>
  <c r="M77" i="4"/>
  <c r="M70" i="4"/>
  <c r="M61" i="4"/>
  <c r="M57" i="4"/>
  <c r="M52" i="4"/>
  <c r="M47" i="4"/>
  <c r="M35" i="4"/>
  <c r="M33" i="4"/>
  <c r="M27" i="4"/>
  <c r="M20" i="4"/>
  <c r="M18" i="4"/>
  <c r="N12" i="4"/>
  <c r="M129" i="4" s="1"/>
  <c r="I12" i="4"/>
  <c r="H120" i="4" s="1"/>
  <c r="M29" i="4" l="1"/>
  <c r="M54" i="4"/>
  <c r="M84" i="4"/>
  <c r="M104" i="4"/>
  <c r="D61" i="2" s="1"/>
  <c r="E61" i="2" s="1"/>
  <c r="F61" i="2" s="1"/>
  <c r="M126" i="4"/>
  <c r="M37" i="4"/>
  <c r="D51" i="2" s="1"/>
  <c r="E51" i="2" s="1"/>
  <c r="F51" i="2" s="1"/>
  <c r="M64" i="4"/>
  <c r="M91" i="4"/>
  <c r="M112" i="4"/>
  <c r="M41" i="4"/>
  <c r="M68" i="4"/>
  <c r="M95" i="4"/>
  <c r="M116" i="4"/>
  <c r="M24" i="4"/>
  <c r="M49" i="4"/>
  <c r="M73" i="4"/>
  <c r="M100" i="4"/>
  <c r="M122" i="4"/>
  <c r="H30" i="4"/>
  <c r="H98" i="4"/>
  <c r="H117" i="4"/>
  <c r="Q117" i="4" s="1"/>
  <c r="H44" i="4"/>
  <c r="Q44" i="4" s="1"/>
  <c r="H107" i="4"/>
  <c r="H122" i="4"/>
  <c r="Q122" i="4" s="1"/>
  <c r="H126" i="4"/>
  <c r="H20" i="4"/>
  <c r="Q20" i="4" s="1"/>
  <c r="H24" i="4"/>
  <c r="H41" i="4"/>
  <c r="Q41" i="4" s="1"/>
  <c r="H57" i="4"/>
  <c r="Q57" i="4" s="1"/>
  <c r="H61" i="4"/>
  <c r="Q61" i="4" s="1"/>
  <c r="H73" i="4"/>
  <c r="Q73" i="4" s="1"/>
  <c r="H77" i="4"/>
  <c r="Q77" i="4" s="1"/>
  <c r="H84" i="4"/>
  <c r="Q84" i="4" s="1"/>
  <c r="H88" i="4"/>
  <c r="H100" i="4"/>
  <c r="Q100" i="4" s="1"/>
  <c r="H104" i="4"/>
  <c r="H112" i="4"/>
  <c r="Q112" i="4" s="1"/>
  <c r="H119" i="4"/>
  <c r="Q119" i="4" s="1"/>
  <c r="M128" i="4"/>
  <c r="M130" i="4"/>
  <c r="M26" i="4"/>
  <c r="H29" i="4"/>
  <c r="H33" i="4"/>
  <c r="Q33" i="4" s="1"/>
  <c r="H37" i="4"/>
  <c r="D31" i="2" s="1"/>
  <c r="E31" i="2" s="1"/>
  <c r="F31" i="2" s="1"/>
  <c r="M43" i="4"/>
  <c r="M51" i="4"/>
  <c r="H54" i="4"/>
  <c r="Q54" i="4" s="1"/>
  <c r="M63" i="4"/>
  <c r="M65" i="4"/>
  <c r="M67" i="4"/>
  <c r="H70" i="4"/>
  <c r="Q70" i="4" s="1"/>
  <c r="M90" i="4"/>
  <c r="M92" i="4"/>
  <c r="M94" i="4"/>
  <c r="D60" i="2" s="1"/>
  <c r="E60" i="2" s="1"/>
  <c r="F60" i="2" s="1"/>
  <c r="H97" i="4"/>
  <c r="Q97" i="4" s="1"/>
  <c r="M106" i="4"/>
  <c r="H109" i="4"/>
  <c r="H116" i="4"/>
  <c r="M121" i="4"/>
  <c r="H124" i="4"/>
  <c r="Q124" i="4" s="1"/>
  <c r="H128" i="4"/>
  <c r="Q128" i="4" s="1"/>
  <c r="M19" i="4"/>
  <c r="N21" i="4" s="1"/>
  <c r="D48" i="2" s="1"/>
  <c r="E48" i="2" s="1"/>
  <c r="F48" i="2" s="1"/>
  <c r="M21" i="4"/>
  <c r="M23" i="4"/>
  <c r="H26" i="4"/>
  <c r="Q26" i="4" s="1"/>
  <c r="M40" i="4"/>
  <c r="H43" i="4"/>
  <c r="H47" i="4"/>
  <c r="Q47" i="4" s="1"/>
  <c r="H51" i="4"/>
  <c r="M56" i="4"/>
  <c r="M58" i="4"/>
  <c r="M60" i="4"/>
  <c r="H63" i="4"/>
  <c r="H67" i="4"/>
  <c r="M72" i="4"/>
  <c r="M74" i="4"/>
  <c r="M76" i="4"/>
  <c r="M78" i="4"/>
  <c r="M83" i="4"/>
  <c r="H86" i="4"/>
  <c r="Q86" i="4" s="1"/>
  <c r="H90" i="4"/>
  <c r="H94" i="4"/>
  <c r="M99" i="4"/>
  <c r="H102" i="4"/>
  <c r="Q102" i="4" s="1"/>
  <c r="H106" i="4"/>
  <c r="D80" i="2" s="1"/>
  <c r="E80" i="2" s="1"/>
  <c r="F80" i="2" s="1"/>
  <c r="M111" i="4"/>
  <c r="M113" i="4"/>
  <c r="M118" i="4"/>
  <c r="H121" i="4"/>
  <c r="H129" i="4"/>
  <c r="Q129" i="4" s="1"/>
  <c r="H19" i="4"/>
  <c r="H23" i="4"/>
  <c r="M28" i="4"/>
  <c r="M30" i="4"/>
  <c r="M32" i="4"/>
  <c r="H35" i="4"/>
  <c r="Q35" i="4" s="1"/>
  <c r="M38" i="4"/>
  <c r="H40" i="4"/>
  <c r="M53" i="4"/>
  <c r="H56" i="4"/>
  <c r="H60" i="4"/>
  <c r="M69" i="4"/>
  <c r="H72" i="4"/>
  <c r="H76" i="4"/>
  <c r="D37" i="2" s="1"/>
  <c r="E37" i="2" s="1"/>
  <c r="F37" i="2" s="1"/>
  <c r="H83" i="4"/>
  <c r="M96" i="4"/>
  <c r="H99" i="4"/>
  <c r="Q99" i="4" s="1"/>
  <c r="M108" i="4"/>
  <c r="H111" i="4"/>
  <c r="M115" i="4"/>
  <c r="H118" i="4"/>
  <c r="M123" i="4"/>
  <c r="M127" i="4"/>
  <c r="H130" i="4"/>
  <c r="H38" i="4"/>
  <c r="Q38" i="4" s="1"/>
  <c r="H55" i="4"/>
  <c r="H27" i="4"/>
  <c r="Q27" i="4" s="1"/>
  <c r="H52" i="4"/>
  <c r="Q52" i="4" s="1"/>
  <c r="H68" i="4"/>
  <c r="Q68" i="4" s="1"/>
  <c r="H91" i="4"/>
  <c r="Q91" i="4" s="1"/>
  <c r="H49" i="4"/>
  <c r="M25" i="4"/>
  <c r="H28" i="4"/>
  <c r="H32" i="4"/>
  <c r="D30" i="2" s="1"/>
  <c r="E30" i="2" s="1"/>
  <c r="F30" i="2" s="1"/>
  <c r="H39" i="4"/>
  <c r="M42" i="4"/>
  <c r="M44" i="4"/>
  <c r="D52" i="2" s="1"/>
  <c r="M46" i="4"/>
  <c r="M50" i="4"/>
  <c r="H53" i="4"/>
  <c r="M62" i="4"/>
  <c r="H65" i="4"/>
  <c r="Q65" i="4" s="1"/>
  <c r="H69" i="4"/>
  <c r="M85" i="4"/>
  <c r="M89" i="4"/>
  <c r="H92" i="4"/>
  <c r="H96" i="4"/>
  <c r="M101" i="4"/>
  <c r="M105" i="4"/>
  <c r="H108" i="4"/>
  <c r="H115" i="4"/>
  <c r="M120" i="4"/>
  <c r="Q120" i="4" s="1"/>
  <c r="H123" i="4"/>
  <c r="Q123" i="4" s="1"/>
  <c r="H127" i="4"/>
  <c r="H34" i="4"/>
  <c r="H71" i="4"/>
  <c r="H110" i="4"/>
  <c r="H64" i="4"/>
  <c r="H95" i="4"/>
  <c r="Q95" i="4" s="1"/>
  <c r="H21" i="4"/>
  <c r="Q21" i="4" s="1"/>
  <c r="H25" i="4"/>
  <c r="Q25" i="4" s="1"/>
  <c r="M34" i="4"/>
  <c r="H42" i="4"/>
  <c r="H46" i="4"/>
  <c r="H50" i="4"/>
  <c r="Q50" i="4" s="1"/>
  <c r="M55" i="4"/>
  <c r="H58" i="4"/>
  <c r="Q58" i="4" s="1"/>
  <c r="H62" i="4"/>
  <c r="Q62" i="4" s="1"/>
  <c r="M71" i="4"/>
  <c r="H74" i="4"/>
  <c r="H78" i="4"/>
  <c r="H85" i="4"/>
  <c r="H89" i="4"/>
  <c r="M98" i="4"/>
  <c r="H101" i="4"/>
  <c r="Q101" i="4" s="1"/>
  <c r="H105" i="4"/>
  <c r="Q105" i="4" s="1"/>
  <c r="M110" i="4"/>
  <c r="H113" i="4"/>
  <c r="M117" i="4"/>
  <c r="J107" i="2"/>
  <c r="J25" i="2"/>
  <c r="G12" i="3" s="1"/>
  <c r="J45" i="2"/>
  <c r="H12" i="3"/>
  <c r="J64" i="2"/>
  <c r="J83" i="2"/>
  <c r="J102" i="2"/>
  <c r="D102" i="2"/>
  <c r="L16" i="3"/>
  <c r="E44" i="2"/>
  <c r="F44" i="2" s="1"/>
  <c r="G44" i="2" s="1"/>
  <c r="H44" i="2" s="1"/>
  <c r="E101" i="2"/>
  <c r="F101" i="2" s="1"/>
  <c r="E100" i="2"/>
  <c r="F100" i="2" s="1"/>
  <c r="G100" i="2" s="1"/>
  <c r="H100" i="2" s="1"/>
  <c r="E99" i="2"/>
  <c r="F99" i="2" s="1"/>
  <c r="E98" i="2"/>
  <c r="F98" i="2" s="1"/>
  <c r="G98" i="2" s="1"/>
  <c r="H98" i="2" s="1"/>
  <c r="E97" i="2"/>
  <c r="F97" i="2" s="1"/>
  <c r="E96" i="2"/>
  <c r="F96" i="2" s="1"/>
  <c r="G96" i="2" s="1"/>
  <c r="H96" i="2" s="1"/>
  <c r="E95" i="2"/>
  <c r="F95" i="2" s="1"/>
  <c r="E94" i="2"/>
  <c r="F94" i="2" s="1"/>
  <c r="G94" i="2" s="1"/>
  <c r="H94" i="2" s="1"/>
  <c r="E93" i="2"/>
  <c r="F93" i="2" s="1"/>
  <c r="E92" i="2"/>
  <c r="F92" i="2" s="1"/>
  <c r="G92" i="2" s="1"/>
  <c r="H92" i="2" s="1"/>
  <c r="E91" i="2"/>
  <c r="F91" i="2" s="1"/>
  <c r="E90" i="2"/>
  <c r="F90" i="2" s="1"/>
  <c r="G90" i="2" s="1"/>
  <c r="H90" i="2" s="1"/>
  <c r="E89" i="2"/>
  <c r="F89" i="2" s="1"/>
  <c r="E88" i="2"/>
  <c r="F88" i="2" s="1"/>
  <c r="G88" i="2" s="1"/>
  <c r="H88" i="2" s="1"/>
  <c r="E87" i="2"/>
  <c r="F87" i="2" s="1"/>
  <c r="E86" i="2"/>
  <c r="F86" i="2" s="1"/>
  <c r="E82" i="2"/>
  <c r="F82" i="2" s="1"/>
  <c r="E81" i="2"/>
  <c r="F81" i="2" s="1"/>
  <c r="G81" i="2" s="1"/>
  <c r="H81" i="2" s="1"/>
  <c r="E79" i="2"/>
  <c r="F79" i="2" s="1"/>
  <c r="G79" i="2" s="1"/>
  <c r="H79" i="2" s="1"/>
  <c r="E78" i="2"/>
  <c r="F78" i="2" s="1"/>
  <c r="E77" i="2"/>
  <c r="F77" i="2" s="1"/>
  <c r="G77" i="2" s="1"/>
  <c r="H77" i="2" s="1"/>
  <c r="E76" i="2"/>
  <c r="F76" i="2" s="1"/>
  <c r="E75" i="2"/>
  <c r="F75" i="2" s="1"/>
  <c r="G75" i="2" s="1"/>
  <c r="H75" i="2" s="1"/>
  <c r="E74" i="2"/>
  <c r="F74" i="2" s="1"/>
  <c r="E73" i="2"/>
  <c r="F73" i="2" s="1"/>
  <c r="G73" i="2" s="1"/>
  <c r="H73" i="2" s="1"/>
  <c r="E72" i="2"/>
  <c r="F72" i="2" s="1"/>
  <c r="E71" i="2"/>
  <c r="F71" i="2" s="1"/>
  <c r="G71" i="2" s="1"/>
  <c r="H71" i="2" s="1"/>
  <c r="E70" i="2"/>
  <c r="F70" i="2" s="1"/>
  <c r="E69" i="2"/>
  <c r="F69" i="2" s="1"/>
  <c r="G69" i="2" s="1"/>
  <c r="H69" i="2" s="1"/>
  <c r="E68" i="2"/>
  <c r="F68" i="2" s="1"/>
  <c r="E63" i="2"/>
  <c r="F63" i="2" s="1"/>
  <c r="I11" i="3" s="1"/>
  <c r="E58" i="2"/>
  <c r="F58" i="2" s="1"/>
  <c r="E52" i="2"/>
  <c r="F52" i="2" s="1"/>
  <c r="E50" i="2"/>
  <c r="F50" i="2" s="1"/>
  <c r="H107" i="2"/>
  <c r="G107" i="2"/>
  <c r="I107" i="2"/>
  <c r="E28" i="2"/>
  <c r="F28" i="2" s="1"/>
  <c r="E24" i="2"/>
  <c r="F24" i="2" s="1"/>
  <c r="E23" i="2"/>
  <c r="F23" i="2" s="1"/>
  <c r="G11" i="3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5" i="2"/>
  <c r="F15" i="2" s="1"/>
  <c r="G15" i="2" s="1"/>
  <c r="E14" i="2"/>
  <c r="F14" i="2" s="1"/>
  <c r="E13" i="2"/>
  <c r="F13" i="2" s="1"/>
  <c r="G13" i="2" s="1"/>
  <c r="E12" i="2"/>
  <c r="F12" i="2" s="1"/>
  <c r="E11" i="2"/>
  <c r="F11" i="2" s="1"/>
  <c r="E10" i="2"/>
  <c r="F10" i="2" s="1"/>
  <c r="E16" i="2"/>
  <c r="F16" i="2" s="1"/>
  <c r="E9" i="3"/>
  <c r="E17" i="3" s="1"/>
  <c r="K107" i="2" s="1"/>
  <c r="A2" i="3"/>
  <c r="A1" i="3"/>
  <c r="F102" i="2" l="1"/>
  <c r="D42" i="2"/>
  <c r="E42" i="2" s="1"/>
  <c r="F42" i="2" s="1"/>
  <c r="M132" i="4"/>
  <c r="M135" i="4" s="1"/>
  <c r="N113" i="4"/>
  <c r="O113" i="4" s="1"/>
  <c r="D33" i="2"/>
  <c r="E33" i="2" s="1"/>
  <c r="F33" i="2" s="1"/>
  <c r="Q53" i="4"/>
  <c r="Q130" i="4"/>
  <c r="D32" i="2"/>
  <c r="E32" i="2" s="1"/>
  <c r="F32" i="2" s="1"/>
  <c r="G32" i="2" s="1"/>
  <c r="H32" i="2" s="1"/>
  <c r="D40" i="2"/>
  <c r="E40" i="2" s="1"/>
  <c r="F40" i="2" s="1"/>
  <c r="G40" i="2" s="1"/>
  <c r="H40" i="2" s="1"/>
  <c r="D36" i="2"/>
  <c r="E36" i="2" s="1"/>
  <c r="F36" i="2" s="1"/>
  <c r="Q116" i="4"/>
  <c r="D56" i="2"/>
  <c r="E56" i="2" s="1"/>
  <c r="F56" i="2" s="1"/>
  <c r="G56" i="2" s="1"/>
  <c r="Q29" i="4"/>
  <c r="D39" i="2"/>
  <c r="E39" i="2" s="1"/>
  <c r="F39" i="2" s="1"/>
  <c r="G39" i="2" s="1"/>
  <c r="H39" i="2" s="1"/>
  <c r="N38" i="4"/>
  <c r="O38" i="4" s="1"/>
  <c r="Q24" i="4"/>
  <c r="D9" i="2"/>
  <c r="E9" i="2" s="1"/>
  <c r="F9" i="2" s="1"/>
  <c r="G9" i="2" s="1"/>
  <c r="Q34" i="4"/>
  <c r="N58" i="4"/>
  <c r="O58" i="4" s="1"/>
  <c r="D54" i="2"/>
  <c r="E54" i="2" s="1"/>
  <c r="F54" i="2" s="1"/>
  <c r="G54" i="2" s="1"/>
  <c r="H54" i="2" s="1"/>
  <c r="D34" i="2"/>
  <c r="E34" i="2" s="1"/>
  <c r="F34" i="2" s="1"/>
  <c r="G34" i="2" s="1"/>
  <c r="N130" i="4"/>
  <c r="O130" i="4" s="1"/>
  <c r="D38" i="2"/>
  <c r="E38" i="2" s="1"/>
  <c r="F38" i="2" s="1"/>
  <c r="Q121" i="4"/>
  <c r="Q63" i="4"/>
  <c r="D43" i="2"/>
  <c r="E43" i="2" s="1"/>
  <c r="F43" i="2" s="1"/>
  <c r="H11" i="3" s="1"/>
  <c r="L11" i="3" s="1"/>
  <c r="D62" i="2"/>
  <c r="E62" i="2" s="1"/>
  <c r="F62" i="2" s="1"/>
  <c r="Q69" i="4"/>
  <c r="Q111" i="4"/>
  <c r="N78" i="4"/>
  <c r="O78" i="4" s="1"/>
  <c r="D57" i="2"/>
  <c r="E57" i="2" s="1"/>
  <c r="F57" i="2" s="1"/>
  <c r="Q56" i="4"/>
  <c r="D41" i="2"/>
  <c r="E41" i="2" s="1"/>
  <c r="F41" i="2" s="1"/>
  <c r="G41" i="2" s="1"/>
  <c r="H41" i="2" s="1"/>
  <c r="I41" i="2" s="1"/>
  <c r="N47" i="4"/>
  <c r="O47" i="4" s="1"/>
  <c r="D53" i="2"/>
  <c r="E53" i="2" s="1"/>
  <c r="F53" i="2" s="1"/>
  <c r="D55" i="2"/>
  <c r="E55" i="2" s="1"/>
  <c r="F55" i="2" s="1"/>
  <c r="G55" i="2" s="1"/>
  <c r="D49" i="2"/>
  <c r="E49" i="2" s="1"/>
  <c r="F49" i="2" s="1"/>
  <c r="D35" i="2"/>
  <c r="E35" i="2" s="1"/>
  <c r="F35" i="2" s="1"/>
  <c r="G35" i="2" s="1"/>
  <c r="H35" i="2" s="1"/>
  <c r="Q51" i="4"/>
  <c r="Q64" i="4"/>
  <c r="D29" i="2"/>
  <c r="N92" i="4"/>
  <c r="O92" i="4" s="1"/>
  <c r="Q118" i="4"/>
  <c r="Q72" i="4"/>
  <c r="N35" i="4"/>
  <c r="O35" i="4" s="1"/>
  <c r="D59" i="2"/>
  <c r="E59" i="2" s="1"/>
  <c r="F59" i="2" s="1"/>
  <c r="G59" i="2" s="1"/>
  <c r="Q108" i="4"/>
  <c r="H144" i="4"/>
  <c r="I35" i="4"/>
  <c r="J35" i="4" s="1"/>
  <c r="Q32" i="4"/>
  <c r="R35" i="4" s="1"/>
  <c r="I30" i="4"/>
  <c r="J30" i="4" s="1"/>
  <c r="Q23" i="4"/>
  <c r="R30" i="4" s="1"/>
  <c r="I113" i="4"/>
  <c r="J113" i="4" s="1"/>
  <c r="Q104" i="4"/>
  <c r="I65" i="4"/>
  <c r="J65" i="4" s="1"/>
  <c r="Q60" i="4"/>
  <c r="R65" i="4" s="1"/>
  <c r="I78" i="4"/>
  <c r="J78" i="4" s="1"/>
  <c r="Q76" i="4"/>
  <c r="Q113" i="4"/>
  <c r="Q74" i="4"/>
  <c r="Q127" i="4"/>
  <c r="Q92" i="4"/>
  <c r="N65" i="4"/>
  <c r="O65" i="4" s="1"/>
  <c r="N30" i="4"/>
  <c r="O30" i="4" s="1"/>
  <c r="I38" i="4"/>
  <c r="J38" i="4" s="1"/>
  <c r="Q37" i="4"/>
  <c r="R38" i="4" s="1"/>
  <c r="I58" i="4"/>
  <c r="J58" i="4" s="1"/>
  <c r="Q49" i="4"/>
  <c r="I86" i="4"/>
  <c r="J86" i="4" s="1"/>
  <c r="Q83" i="4"/>
  <c r="Q109" i="4"/>
  <c r="H145" i="4"/>
  <c r="Q126" i="4"/>
  <c r="I130" i="4"/>
  <c r="J130" i="4" s="1"/>
  <c r="Q55" i="4"/>
  <c r="Q78" i="4"/>
  <c r="Q42" i="4"/>
  <c r="Q96" i="4"/>
  <c r="Q90" i="4"/>
  <c r="Q115" i="4"/>
  <c r="R124" i="4" s="1"/>
  <c r="I124" i="4"/>
  <c r="J124" i="4" s="1"/>
  <c r="Q106" i="4"/>
  <c r="H141" i="4"/>
  <c r="Q107" i="4"/>
  <c r="H142" i="4"/>
  <c r="Q46" i="4"/>
  <c r="R47" i="4" s="1"/>
  <c r="I47" i="4"/>
  <c r="J47" i="4" s="1"/>
  <c r="I44" i="4"/>
  <c r="J44" i="4" s="1"/>
  <c r="Q40" i="4"/>
  <c r="I102" i="4"/>
  <c r="J102" i="4" s="1"/>
  <c r="Q94" i="4"/>
  <c r="I74" i="4"/>
  <c r="J74" i="4" s="1"/>
  <c r="Q67" i="4"/>
  <c r="Q88" i="4"/>
  <c r="I92" i="4"/>
  <c r="J92" i="4" s="1"/>
  <c r="N102" i="4"/>
  <c r="O102" i="4" s="1"/>
  <c r="Q85" i="4"/>
  <c r="Q71" i="4"/>
  <c r="N44" i="4"/>
  <c r="O44" i="4" s="1"/>
  <c r="N74" i="4"/>
  <c r="O74" i="4" s="1"/>
  <c r="O21" i="4"/>
  <c r="Q110" i="4"/>
  <c r="H143" i="4"/>
  <c r="I21" i="4"/>
  <c r="Q19" i="4"/>
  <c r="H132" i="4"/>
  <c r="B112" i="2" s="1"/>
  <c r="Q98" i="4"/>
  <c r="N124" i="4"/>
  <c r="O124" i="4" s="1"/>
  <c r="N86" i="4"/>
  <c r="O86" i="4" s="1"/>
  <c r="Q89" i="4"/>
  <c r="Q28" i="4"/>
  <c r="Q43" i="4"/>
  <c r="Q30" i="4"/>
  <c r="J104" i="2"/>
  <c r="E102" i="2"/>
  <c r="L12" i="3"/>
  <c r="I44" i="2"/>
  <c r="K44" i="2" s="1"/>
  <c r="G21" i="2"/>
  <c r="G18" i="2"/>
  <c r="H18" i="2" s="1"/>
  <c r="G10" i="2"/>
  <c r="H10" i="2" s="1"/>
  <c r="G19" i="2"/>
  <c r="H19" i="2" s="1"/>
  <c r="G23" i="2"/>
  <c r="H23" i="2" s="1"/>
  <c r="I23" i="2" s="1"/>
  <c r="G33" i="2"/>
  <c r="H33" i="2" s="1"/>
  <c r="I33" i="2" s="1"/>
  <c r="G37" i="2"/>
  <c r="H37" i="2" s="1"/>
  <c r="I37" i="2" s="1"/>
  <c r="G14" i="2"/>
  <c r="H14" i="2" s="1"/>
  <c r="I14" i="2" s="1"/>
  <c r="K14" i="2" s="1"/>
  <c r="G38" i="2"/>
  <c r="H38" i="2" s="1"/>
  <c r="G16" i="2"/>
  <c r="G20" i="2"/>
  <c r="G17" i="2"/>
  <c r="H9" i="2"/>
  <c r="I9" i="2" s="1"/>
  <c r="K9" i="2" s="1"/>
  <c r="G22" i="2"/>
  <c r="H22" i="2" s="1"/>
  <c r="G28" i="2"/>
  <c r="G36" i="2"/>
  <c r="H36" i="2" s="1"/>
  <c r="G11" i="2"/>
  <c r="H11" i="2" s="1"/>
  <c r="H15" i="2"/>
  <c r="I15" i="2" s="1"/>
  <c r="G24" i="2"/>
  <c r="H24" i="2" s="1"/>
  <c r="I24" i="2" s="1"/>
  <c r="G12" i="2"/>
  <c r="H12" i="2" s="1"/>
  <c r="G30" i="2"/>
  <c r="G42" i="2"/>
  <c r="H42" i="2" s="1"/>
  <c r="I42" i="2" s="1"/>
  <c r="K42" i="2" s="1"/>
  <c r="H13" i="2"/>
  <c r="I13" i="2" s="1"/>
  <c r="K13" i="2" s="1"/>
  <c r="G31" i="2"/>
  <c r="G86" i="2"/>
  <c r="G87" i="2"/>
  <c r="H87" i="2" s="1"/>
  <c r="G89" i="2"/>
  <c r="H89" i="2" s="1"/>
  <c r="I89" i="2" s="1"/>
  <c r="G91" i="2"/>
  <c r="H91" i="2" s="1"/>
  <c r="I91" i="2" s="1"/>
  <c r="G93" i="2"/>
  <c r="G95" i="2"/>
  <c r="H95" i="2" s="1"/>
  <c r="G97" i="2"/>
  <c r="H97" i="2" s="1"/>
  <c r="G99" i="2"/>
  <c r="H99" i="2" s="1"/>
  <c r="G101" i="2"/>
  <c r="I88" i="2"/>
  <c r="K88" i="2" s="1"/>
  <c r="I90" i="2"/>
  <c r="K90" i="2" s="1"/>
  <c r="I92" i="2"/>
  <c r="K92" i="2" s="1"/>
  <c r="I94" i="2"/>
  <c r="K94" i="2" s="1"/>
  <c r="I96" i="2"/>
  <c r="K96" i="2" s="1"/>
  <c r="I98" i="2"/>
  <c r="K98" i="2" s="1"/>
  <c r="I100" i="2"/>
  <c r="K100" i="2" s="1"/>
  <c r="G68" i="2"/>
  <c r="G70" i="2"/>
  <c r="H70" i="2" s="1"/>
  <c r="I70" i="2" s="1"/>
  <c r="G72" i="2"/>
  <c r="H72" i="2" s="1"/>
  <c r="G74" i="2"/>
  <c r="H74" i="2" s="1"/>
  <c r="G76" i="2"/>
  <c r="H76" i="2" s="1"/>
  <c r="G78" i="2"/>
  <c r="H78" i="2" s="1"/>
  <c r="G80" i="2"/>
  <c r="H80" i="2" s="1"/>
  <c r="G82" i="2"/>
  <c r="H82" i="2" s="1"/>
  <c r="I82" i="2" s="1"/>
  <c r="I69" i="2"/>
  <c r="K69" i="2" s="1"/>
  <c r="I71" i="2"/>
  <c r="K71" i="2" s="1"/>
  <c r="I73" i="2"/>
  <c r="K73" i="2" s="1"/>
  <c r="I75" i="2"/>
  <c r="K75" i="2" s="1"/>
  <c r="I77" i="2"/>
  <c r="K77" i="2" s="1"/>
  <c r="I79" i="2"/>
  <c r="K79" i="2" s="1"/>
  <c r="I81" i="2"/>
  <c r="K81" i="2" s="1"/>
  <c r="G51" i="2"/>
  <c r="H51" i="2" s="1"/>
  <c r="G49" i="2"/>
  <c r="G57" i="2"/>
  <c r="G63" i="2"/>
  <c r="G53" i="2"/>
  <c r="H53" i="2" s="1"/>
  <c r="G61" i="2"/>
  <c r="H61" i="2" s="1"/>
  <c r="G48" i="2"/>
  <c r="G50" i="2"/>
  <c r="H50" i="2" s="1"/>
  <c r="G52" i="2"/>
  <c r="H52" i="2" s="1"/>
  <c r="G58" i="2"/>
  <c r="H58" i="2" s="1"/>
  <c r="G60" i="2"/>
  <c r="H60" i="2" s="1"/>
  <c r="G62" i="2"/>
  <c r="G43" i="2" l="1"/>
  <c r="H43" i="2" s="1"/>
  <c r="F64" i="2"/>
  <c r="I10" i="3" s="1"/>
  <c r="M136" i="4"/>
  <c r="M138" i="4" s="1"/>
  <c r="D67" i="2"/>
  <c r="D8" i="2"/>
  <c r="E64" i="2"/>
  <c r="R92" i="4"/>
  <c r="R86" i="4"/>
  <c r="D45" i="2"/>
  <c r="A108" i="2" s="1"/>
  <c r="E29" i="2"/>
  <c r="D64" i="2"/>
  <c r="R58" i="4"/>
  <c r="S58" i="4" s="1"/>
  <c r="S92" i="4"/>
  <c r="L135" i="4"/>
  <c r="L138" i="4" s="1"/>
  <c r="R113" i="4"/>
  <c r="S30" i="4"/>
  <c r="S47" i="4"/>
  <c r="S124" i="4"/>
  <c r="J21" i="4"/>
  <c r="J132" i="4" s="1"/>
  <c r="I132" i="4"/>
  <c r="R74" i="4"/>
  <c r="R44" i="4"/>
  <c r="R130" i="4"/>
  <c r="L136" i="4"/>
  <c r="S86" i="4"/>
  <c r="R21" i="4"/>
  <c r="Q132" i="4"/>
  <c r="S38" i="4"/>
  <c r="S35" i="4"/>
  <c r="R78" i="4"/>
  <c r="S65" i="4"/>
  <c r="N132" i="4"/>
  <c r="O132" i="4"/>
  <c r="R102" i="4"/>
  <c r="I145" i="4"/>
  <c r="J145" i="4" s="1"/>
  <c r="H28" i="2"/>
  <c r="G64" i="2"/>
  <c r="I13" i="3" s="1"/>
  <c r="H68" i="2"/>
  <c r="H86" i="2"/>
  <c r="G102" i="2"/>
  <c r="I36" i="2"/>
  <c r="K36" i="2" s="1"/>
  <c r="I32" i="2"/>
  <c r="K32" i="2" s="1"/>
  <c r="H34" i="2"/>
  <c r="I34" i="2" s="1"/>
  <c r="K34" i="2" s="1"/>
  <c r="I58" i="2"/>
  <c r="K58" i="2" s="1"/>
  <c r="I50" i="2"/>
  <c r="K50" i="2" s="1"/>
  <c r="I11" i="2"/>
  <c r="K11" i="2" s="1"/>
  <c r="I19" i="2"/>
  <c r="K19" i="2" s="1"/>
  <c r="I43" i="2"/>
  <c r="K43" i="2" s="1"/>
  <c r="I35" i="2"/>
  <c r="K35" i="2" s="1"/>
  <c r="K24" i="2"/>
  <c r="I10" i="2"/>
  <c r="K10" i="2" s="1"/>
  <c r="K41" i="2"/>
  <c r="K33" i="2"/>
  <c r="I18" i="2"/>
  <c r="K18" i="2" s="1"/>
  <c r="K37" i="2"/>
  <c r="H55" i="2"/>
  <c r="I55" i="2" s="1"/>
  <c r="K55" i="2" s="1"/>
  <c r="I38" i="2"/>
  <c r="K38" i="2" s="1"/>
  <c r="I54" i="2"/>
  <c r="K54" i="2" s="1"/>
  <c r="H101" i="2"/>
  <c r="I101" i="2" s="1"/>
  <c r="H93" i="2"/>
  <c r="I93" i="2" s="1"/>
  <c r="H20" i="2"/>
  <c r="I20" i="2" s="1"/>
  <c r="K15" i="2"/>
  <c r="I39" i="2"/>
  <c r="K39" i="2" s="1"/>
  <c r="H17" i="2"/>
  <c r="I17" i="2" s="1"/>
  <c r="H30" i="2"/>
  <c r="I30" i="2" s="1"/>
  <c r="K30" i="2" s="1"/>
  <c r="K23" i="2"/>
  <c r="H62" i="2"/>
  <c r="I62" i="2" s="1"/>
  <c r="I60" i="2"/>
  <c r="K60" i="2" s="1"/>
  <c r="I52" i="2"/>
  <c r="K52" i="2" s="1"/>
  <c r="K82" i="2"/>
  <c r="K70" i="2"/>
  <c r="I40" i="2"/>
  <c r="K40" i="2" s="1"/>
  <c r="I22" i="2"/>
  <c r="K22" i="2" s="1"/>
  <c r="H16" i="2"/>
  <c r="I16" i="2" s="1"/>
  <c r="K16" i="2" s="1"/>
  <c r="H21" i="2"/>
  <c r="I76" i="2"/>
  <c r="K76" i="2" s="1"/>
  <c r="I97" i="2"/>
  <c r="K97" i="2" s="1"/>
  <c r="K89" i="2"/>
  <c r="H59" i="2"/>
  <c r="I59" i="2" s="1"/>
  <c r="K59" i="2" s="1"/>
  <c r="H31" i="2"/>
  <c r="I12" i="2"/>
  <c r="K12" i="2" s="1"/>
  <c r="K91" i="2"/>
  <c r="I99" i="2"/>
  <c r="K99" i="2" s="1"/>
  <c r="I95" i="2"/>
  <c r="K95" i="2" s="1"/>
  <c r="I87" i="2"/>
  <c r="I80" i="2"/>
  <c r="K80" i="2" s="1"/>
  <c r="I72" i="2"/>
  <c r="I78" i="2"/>
  <c r="K78" i="2" s="1"/>
  <c r="I74" i="2"/>
  <c r="K74" i="2" s="1"/>
  <c r="I61" i="2"/>
  <c r="K61" i="2" s="1"/>
  <c r="I53" i="2"/>
  <c r="K53" i="2" s="1"/>
  <c r="H57" i="2"/>
  <c r="I57" i="2" s="1"/>
  <c r="I51" i="2"/>
  <c r="K51" i="2" s="1"/>
  <c r="H63" i="2"/>
  <c r="I63" i="2" s="1"/>
  <c r="K63" i="2" s="1"/>
  <c r="H49" i="2"/>
  <c r="H56" i="2"/>
  <c r="I56" i="2" s="1"/>
  <c r="H48" i="2"/>
  <c r="N138" i="4" l="1"/>
  <c r="N136" i="4"/>
  <c r="O136" i="4" s="1"/>
  <c r="E67" i="2"/>
  <c r="D83" i="2"/>
  <c r="A110" i="2" s="1"/>
  <c r="H102" i="2"/>
  <c r="I68" i="2"/>
  <c r="K68" i="2" s="1"/>
  <c r="O138" i="4"/>
  <c r="F29" i="2"/>
  <c r="E45" i="2"/>
  <c r="S102" i="4"/>
  <c r="H135" i="4"/>
  <c r="I135" i="4"/>
  <c r="S74" i="4"/>
  <c r="S130" i="4"/>
  <c r="S78" i="4"/>
  <c r="S21" i="4"/>
  <c r="R132" i="4"/>
  <c r="S44" i="4"/>
  <c r="I28" i="2"/>
  <c r="I48" i="2"/>
  <c r="H64" i="2"/>
  <c r="I14" i="3" s="1"/>
  <c r="I86" i="2"/>
  <c r="K56" i="2"/>
  <c r="K62" i="2"/>
  <c r="K101" i="2"/>
  <c r="I21" i="2"/>
  <c r="K21" i="2" s="1"/>
  <c r="I31" i="2"/>
  <c r="K31" i="2" s="1"/>
  <c r="K20" i="2"/>
  <c r="K57" i="2"/>
  <c r="K17" i="2"/>
  <c r="K93" i="2"/>
  <c r="K87" i="2"/>
  <c r="K72" i="2"/>
  <c r="I49" i="2"/>
  <c r="K49" i="2" s="1"/>
  <c r="I64" i="2" l="1"/>
  <c r="I15" i="3" s="1"/>
  <c r="I17" i="3" s="1"/>
  <c r="F67" i="2"/>
  <c r="E83" i="2"/>
  <c r="G29" i="2"/>
  <c r="F45" i="2"/>
  <c r="H9" i="3" s="1"/>
  <c r="I136" i="4"/>
  <c r="G135" i="4"/>
  <c r="Q135" i="4"/>
  <c r="H136" i="4"/>
  <c r="H138" i="4" s="1"/>
  <c r="S132" i="4"/>
  <c r="K86" i="2"/>
  <c r="K102" i="2" s="1"/>
  <c r="I102" i="2"/>
  <c r="K48" i="2"/>
  <c r="K64" i="2" s="1"/>
  <c r="K28" i="2"/>
  <c r="H29" i="2" l="1"/>
  <c r="G45" i="2"/>
  <c r="H13" i="3" s="1"/>
  <c r="G67" i="2"/>
  <c r="F83" i="2"/>
  <c r="J9" i="3" s="1"/>
  <c r="G136" i="4"/>
  <c r="G138" i="4" s="1"/>
  <c r="Q136" i="4"/>
  <c r="Q138" i="4" s="1"/>
  <c r="J136" i="4"/>
  <c r="J138" i="4" s="1"/>
  <c r="I138" i="4"/>
  <c r="I29" i="2" l="1"/>
  <c r="I45" i="2" s="1"/>
  <c r="H15" i="3" s="1"/>
  <c r="H45" i="2"/>
  <c r="H14" i="3" s="1"/>
  <c r="H17" i="3" s="1"/>
  <c r="H67" i="2"/>
  <c r="G83" i="2"/>
  <c r="J13" i="3" s="1"/>
  <c r="R136" i="4"/>
  <c r="K29" i="2"/>
  <c r="K45" i="2" s="1"/>
  <c r="S136" i="4"/>
  <c r="S138" i="4" s="1"/>
  <c r="R138" i="4"/>
  <c r="T136" i="4" s="1"/>
  <c r="H83" i="2" l="1"/>
  <c r="J14" i="3" s="1"/>
  <c r="I67" i="2"/>
  <c r="I83" i="2" s="1"/>
  <c r="J15" i="3" s="1"/>
  <c r="T38" i="4"/>
  <c r="T65" i="4"/>
  <c r="T124" i="4"/>
  <c r="T30" i="4"/>
  <c r="T58" i="4"/>
  <c r="T47" i="4"/>
  <c r="T86" i="4"/>
  <c r="T35" i="4"/>
  <c r="T92" i="4"/>
  <c r="T21" i="4"/>
  <c r="T113" i="4"/>
  <c r="T78" i="4"/>
  <c r="T44" i="4"/>
  <c r="T130" i="4"/>
  <c r="T102" i="4"/>
  <c r="T74" i="4"/>
  <c r="J17" i="3" l="1"/>
  <c r="K67" i="2"/>
  <c r="K83" i="2" s="1"/>
  <c r="T132" i="4"/>
  <c r="T138" i="4" s="1"/>
  <c r="J108" i="2" l="1"/>
  <c r="E8" i="2"/>
  <c r="E25" i="2" s="1"/>
  <c r="D25" i="2"/>
  <c r="A107" i="2" l="1"/>
  <c r="E104" i="2"/>
  <c r="D104" i="2"/>
  <c r="F8" i="2"/>
  <c r="F25" i="2" l="1"/>
  <c r="G9" i="3" s="1"/>
  <c r="L9" i="3" s="1"/>
  <c r="G8" i="2"/>
  <c r="F104" i="2" l="1"/>
  <c r="G25" i="2"/>
  <c r="G13" i="3" s="1"/>
  <c r="L13" i="3" s="1"/>
  <c r="L10" i="3"/>
  <c r="H8" i="2"/>
  <c r="I8" i="2" s="1"/>
  <c r="G104" i="2" l="1"/>
  <c r="G108" i="2" s="1"/>
  <c r="I25" i="2"/>
  <c r="G15" i="3" s="1"/>
  <c r="L15" i="3" s="1"/>
  <c r="H25" i="2"/>
  <c r="G14" i="3" s="1"/>
  <c r="L14" i="3" s="1"/>
  <c r="K8" i="2"/>
  <c r="I104" i="2" l="1"/>
  <c r="I108" i="2" s="1"/>
  <c r="G17" i="3"/>
  <c r="L17" i="3" s="1"/>
  <c r="K25" i="2"/>
  <c r="K104" i="2" s="1"/>
  <c r="K108" i="2" s="1"/>
  <c r="H104" i="2"/>
  <c r="H108" i="2" s="1"/>
</calcChain>
</file>

<file path=xl/sharedStrings.xml><?xml version="1.0" encoding="utf-8"?>
<sst xmlns="http://schemas.openxmlformats.org/spreadsheetml/2006/main" count="417" uniqueCount="244">
  <si>
    <t>Inflation</t>
  </si>
  <si>
    <t>New Construction</t>
  </si>
  <si>
    <t>Division 1</t>
  </si>
  <si>
    <t>General Conditions</t>
  </si>
  <si>
    <t>Division 2</t>
  </si>
  <si>
    <t>Demolition</t>
  </si>
  <si>
    <t>Division 3</t>
  </si>
  <si>
    <t>Concrete</t>
  </si>
  <si>
    <t>Division 4</t>
  </si>
  <si>
    <t>Masonry</t>
  </si>
  <si>
    <t>Division 5</t>
  </si>
  <si>
    <t>Steel</t>
  </si>
  <si>
    <t>Division 6</t>
  </si>
  <si>
    <t>Woods &amp; Plastics</t>
  </si>
  <si>
    <t>Division 7</t>
  </si>
  <si>
    <t>Thermal &amp; Moisture Protection</t>
  </si>
  <si>
    <t>Division 8</t>
  </si>
  <si>
    <t>Doors &amp; Windows</t>
  </si>
  <si>
    <t>Division 9</t>
  </si>
  <si>
    <t>Finishes</t>
  </si>
  <si>
    <t>Division 10</t>
  </si>
  <si>
    <t>Specialties</t>
  </si>
  <si>
    <t>Division 20</t>
  </si>
  <si>
    <t>Conveying Systems</t>
  </si>
  <si>
    <t>Division 21</t>
  </si>
  <si>
    <t>Fire Suppression</t>
  </si>
  <si>
    <t>Division 22</t>
  </si>
  <si>
    <t>Plumbing</t>
  </si>
  <si>
    <t>Division 23</t>
  </si>
  <si>
    <t>HVAC</t>
  </si>
  <si>
    <t>Division 26</t>
  </si>
  <si>
    <t>Electrical</t>
  </si>
  <si>
    <t>Division 31</t>
  </si>
  <si>
    <t>Sitework</t>
  </si>
  <si>
    <t>#1 demolition of existing 2 story building</t>
  </si>
  <si>
    <t>#2 Construction of new 4 story building</t>
  </si>
  <si>
    <t>#3 Renovation of existing spaces</t>
  </si>
  <si>
    <t>#4 Purchase of 3 new boilers</t>
  </si>
  <si>
    <t>#5 Boiler Plant Renovation</t>
  </si>
  <si>
    <t>HP Cummings Contingency</t>
  </si>
  <si>
    <t>Total</t>
  </si>
  <si>
    <t>TABLE 1</t>
  </si>
  <si>
    <t>PROJECT COSTS</t>
  </si>
  <si>
    <t>Construction Costs</t>
  </si>
  <si>
    <t xml:space="preserve">1. </t>
  </si>
  <si>
    <t xml:space="preserve">2. </t>
  </si>
  <si>
    <t>Renovation</t>
  </si>
  <si>
    <t xml:space="preserve">3. </t>
  </si>
  <si>
    <t>Site Work</t>
  </si>
  <si>
    <t xml:space="preserve">4. </t>
  </si>
  <si>
    <t>Fixed Equipment</t>
  </si>
  <si>
    <t xml:space="preserve">5. </t>
  </si>
  <si>
    <t>Design/Bidding Contingency</t>
  </si>
  <si>
    <t xml:space="preserve">6. </t>
  </si>
  <si>
    <t>Construction Contingency</t>
  </si>
  <si>
    <t xml:space="preserve">7. </t>
  </si>
  <si>
    <t>Construction Manager Fee</t>
  </si>
  <si>
    <t xml:space="preserve">8. </t>
  </si>
  <si>
    <t>Other  (please specify)</t>
  </si>
  <si>
    <t>Subtotal</t>
  </si>
  <si>
    <t>HP Cummings CM Fee</t>
  </si>
  <si>
    <t>xxxx</t>
  </si>
  <si>
    <t>Owners cost</t>
  </si>
  <si>
    <t>Brattleboro Memorial Hospital</t>
  </si>
  <si>
    <t>Contractor</t>
  </si>
  <si>
    <t>H. P. Cummings Construction Company</t>
  </si>
  <si>
    <t>Modernization Project</t>
  </si>
  <si>
    <t>Architect</t>
  </si>
  <si>
    <t>Lavallee Brensinger</t>
  </si>
  <si>
    <t>CON Budget Cost Construction total project</t>
  </si>
  <si>
    <t>Renovations</t>
  </si>
  <si>
    <t>NO OWNER COST IN THIS BUDGET</t>
  </si>
  <si>
    <t>Tie in at ground level</t>
  </si>
  <si>
    <t>sf</t>
  </si>
  <si>
    <t>Ground Floor addition</t>
  </si>
  <si>
    <t>PACU Renovations</t>
  </si>
  <si>
    <t>First Floor addition</t>
  </si>
  <si>
    <t>ENDO Renovations</t>
  </si>
  <si>
    <t>Second Floor addition</t>
  </si>
  <si>
    <t>Storage/Anesthsia</t>
  </si>
  <si>
    <t>Third  Floor addition</t>
  </si>
  <si>
    <t>Corridor, meds, H/K, Toilet</t>
  </si>
  <si>
    <t>Revision 0</t>
  </si>
  <si>
    <t>Total Gross  New Area</t>
  </si>
  <si>
    <t>Total Gross  Renovated Area</t>
  </si>
  <si>
    <t>REVISED</t>
  </si>
  <si>
    <t>Based on LBA Modernization Project CON Submission January 2016</t>
  </si>
  <si>
    <t>Assume 14 months for Addition</t>
  </si>
  <si>
    <t>NEW CONSTRUCTION</t>
  </si>
  <si>
    <t>RENOVATIONS</t>
  </si>
  <si>
    <t>TOTAL PROJECT</t>
  </si>
  <si>
    <t>Assume 6 months for renovations</t>
  </si>
  <si>
    <t>SF Cost</t>
  </si>
  <si>
    <t>Total Section Cost</t>
  </si>
  <si>
    <t>Total Division Cost</t>
  </si>
  <si>
    <t>Total Division SF Cost</t>
  </si>
  <si>
    <t>% of Total Cost</t>
  </si>
  <si>
    <t>Assume 2017 construction start add 4% to cost/yr after 2017</t>
  </si>
  <si>
    <t>DIV 1</t>
  </si>
  <si>
    <t>GENERAL CONDITIONS</t>
  </si>
  <si>
    <t>CM General conditions</t>
  </si>
  <si>
    <t>Bond</t>
  </si>
  <si>
    <t>Temporary provisions</t>
  </si>
  <si>
    <t>DIV 2A</t>
  </si>
  <si>
    <t xml:space="preserve">Interior demolition </t>
  </si>
  <si>
    <t>Demo existing Pavillion North 6,216 sf @ $13/sf</t>
  </si>
  <si>
    <t>Demo existing Pavillion South 3800 sf @ $13/sf</t>
  </si>
  <si>
    <t>Dumpsters</t>
  </si>
  <si>
    <t>Temporary partitions and setups</t>
  </si>
  <si>
    <t>Phasing</t>
  </si>
  <si>
    <t>Structural reconfigure</t>
  </si>
  <si>
    <t>MEP cut and patch</t>
  </si>
  <si>
    <t>DIV 3</t>
  </si>
  <si>
    <t>CONCRETE</t>
  </si>
  <si>
    <t>Foundations</t>
  </si>
  <si>
    <t xml:space="preserve">Slabs  </t>
  </si>
  <si>
    <t>Under pinning</t>
  </si>
  <si>
    <t>Site concrete</t>
  </si>
  <si>
    <t>DIV 4</t>
  </si>
  <si>
    <t>MASONRY</t>
  </si>
  <si>
    <t>Interior blockwork</t>
  </si>
  <si>
    <t>Brick veneer at building exterior 13,500 sf @ $30</t>
  </si>
  <si>
    <t>DIV 5</t>
  </si>
  <si>
    <t>STEEL</t>
  </si>
  <si>
    <t>Structural steel</t>
  </si>
  <si>
    <t>Screen at roof 1,071 sf @ $55/sf</t>
  </si>
  <si>
    <t>Air handler structure</t>
  </si>
  <si>
    <t>Boom supports</t>
  </si>
  <si>
    <t>Misc metals</t>
  </si>
  <si>
    <t>DIV 6</t>
  </si>
  <si>
    <t>WOODS &amp; PLASTICS</t>
  </si>
  <si>
    <t>Rough Carpentry</t>
  </si>
  <si>
    <t>Finish carpentry &amp; millwork</t>
  </si>
  <si>
    <t>DIV 7</t>
  </si>
  <si>
    <t>THERMAL &amp; MOISTURE PROTECTION</t>
  </si>
  <si>
    <t>Waterproof foundations</t>
  </si>
  <si>
    <t>Vapor barrier at building exterior wall in siding</t>
  </si>
  <si>
    <t>Vapor barrier under slab</t>
  </si>
  <si>
    <t>Foundation insulation</t>
  </si>
  <si>
    <t>Insulated exterior metal wall panels 6,930 sf @ $45</t>
  </si>
  <si>
    <t>Expansion joints</t>
  </si>
  <si>
    <t>Fire proofing</t>
  </si>
  <si>
    <t>Membrane roof with insulation 8,378sf @ $18</t>
  </si>
  <si>
    <t>Fire sealing</t>
  </si>
  <si>
    <t>Joint sealants</t>
  </si>
  <si>
    <t>DIV 8</t>
  </si>
  <si>
    <t>DOORS &amp; WINDOWS</t>
  </si>
  <si>
    <t>Doors, frames and hardware 113 leafs @ $1,300 ea</t>
  </si>
  <si>
    <t>Aluminum entrances AUTOMATIC 12 leafs @ $3000 ea</t>
  </si>
  <si>
    <t>Aluminum windows exterior 870 sf @ $55</t>
  </si>
  <si>
    <t>Aluminum windows exterior 1 hr 720 sf @ $225</t>
  </si>
  <si>
    <t>Aluminum windows/store front exterior 720 sf @ $75</t>
  </si>
  <si>
    <t>Glass and glazing</t>
  </si>
  <si>
    <t>DIV 9</t>
  </si>
  <si>
    <t>FINISHES</t>
  </si>
  <si>
    <t>Drywall and metal studs</t>
  </si>
  <si>
    <t>Acoustical ceilings standard 20,837sf @ $6.00/sf</t>
  </si>
  <si>
    <t>Acoustical ceilings sterile 7,038 sf @ $8.50/sf</t>
  </si>
  <si>
    <t>Flooring, ave sf value over all floors</t>
  </si>
  <si>
    <t>Moisture mitigation barrier one</t>
  </si>
  <si>
    <t>Wall Coverings</t>
  </si>
  <si>
    <t>Paint Interior</t>
  </si>
  <si>
    <t>Paint exterior</t>
  </si>
  <si>
    <t>DIV 10</t>
  </si>
  <si>
    <t>SPECIALTIES</t>
  </si>
  <si>
    <t>Wall and corner protection</t>
  </si>
  <si>
    <t>Misc specialties</t>
  </si>
  <si>
    <t>Toilet accessories</t>
  </si>
  <si>
    <t>DIV 11</t>
  </si>
  <si>
    <t>EQUIPMENT</t>
  </si>
  <si>
    <t>None</t>
  </si>
  <si>
    <t>DIV 12</t>
  </si>
  <si>
    <t>FURNISHINGS</t>
  </si>
  <si>
    <t>DIV 13</t>
  </si>
  <si>
    <t>SPECIAL CONSTRUCTION</t>
  </si>
  <si>
    <t>DIV 14</t>
  </si>
  <si>
    <t>CONVEYING SYSTEMS</t>
  </si>
  <si>
    <t>4 Stop elevator</t>
  </si>
  <si>
    <t>@ $34,844/stop</t>
  </si>
  <si>
    <t>2 Stop elevator</t>
  </si>
  <si>
    <t>@ $38,328/stop</t>
  </si>
  <si>
    <t>DIV 21</t>
  </si>
  <si>
    <t>New sprinkler</t>
  </si>
  <si>
    <t>New Stand pipes</t>
  </si>
  <si>
    <t>New main for addition 150'</t>
  </si>
  <si>
    <t>Rework Sprinkler line to Richards</t>
  </si>
  <si>
    <t>Temp sprinkler coverage</t>
  </si>
  <si>
    <t>DIV 22</t>
  </si>
  <si>
    <t>Plumbing, OR, CSP $24.75/sf</t>
  </si>
  <si>
    <t>Plumbing level 3 and 4 $14.00/sf</t>
  </si>
  <si>
    <t>Med gas no booms or columns</t>
  </si>
  <si>
    <t>Equipment air system</t>
  </si>
  <si>
    <t>in above</t>
  </si>
  <si>
    <t>Anesthetic gas disposal system</t>
  </si>
  <si>
    <t>Nitrogen and nitrous oxide system</t>
  </si>
  <si>
    <t>Carbon dioxide system</t>
  </si>
  <si>
    <t>Med gas testing</t>
  </si>
  <si>
    <t>Reverse Osmosis</t>
  </si>
  <si>
    <t>DIV 23</t>
  </si>
  <si>
    <t>HVAC OR, CSP $71.06/sf</t>
  </si>
  <si>
    <t>HVAC level 3 and 4 $46.00/sf</t>
  </si>
  <si>
    <t>New boilers 3ea 200 BHP Tube fired @ $400,000 ea</t>
  </si>
  <si>
    <t>Temporary boiler</t>
  </si>
  <si>
    <t>Add 300 gal surge tank to existing boiler feed</t>
  </si>
  <si>
    <t>New 270 ton chiller</t>
  </si>
  <si>
    <t>Clean existing fuel oil tanks</t>
  </si>
  <si>
    <t>New steam lines to Richards</t>
  </si>
  <si>
    <t>Test and balance</t>
  </si>
  <si>
    <t>Controls</t>
  </si>
  <si>
    <t>DIV 26</t>
  </si>
  <si>
    <t>ELECTRICAL</t>
  </si>
  <si>
    <t>Electrical distribution OR, CSP $28/sf</t>
  </si>
  <si>
    <t>Electrical distribution level 3 and 4 $14/sf</t>
  </si>
  <si>
    <t>Lighting</t>
  </si>
  <si>
    <t>Rework existing electrical distribution</t>
  </si>
  <si>
    <t>Fire alarm</t>
  </si>
  <si>
    <t>Nurse call</t>
  </si>
  <si>
    <t>Master Clock system</t>
  </si>
  <si>
    <t>Paging systems</t>
  </si>
  <si>
    <t>Lightning protection</t>
  </si>
  <si>
    <t>Telephone and data</t>
  </si>
  <si>
    <t>DIV 31</t>
  </si>
  <si>
    <t>Site demo clear/grub</t>
  </si>
  <si>
    <t>Sitework associated with building</t>
  </si>
  <si>
    <t>Additional storm water treatment due to new building</t>
  </si>
  <si>
    <t>Landscape</t>
  </si>
  <si>
    <t>Sitework to rework sidewalk area</t>
  </si>
  <si>
    <t>SUB TOTALS</t>
  </si>
  <si>
    <t>DIV 17 CONSTRUCTION MANAGER</t>
  </si>
  <si>
    <t>CM Estimating Contingency</t>
  </si>
  <si>
    <t>CM Fee</t>
  </si>
  <si>
    <t>TOTALS</t>
  </si>
  <si>
    <t>Breakout cost of mechanical upgrade work</t>
  </si>
  <si>
    <t>% of total for each breakdown</t>
  </si>
  <si>
    <t>#1 Demo existing building</t>
  </si>
  <si>
    <t>#2 New construction</t>
  </si>
  <si>
    <t>#3 Renovations</t>
  </si>
  <si>
    <t>#4 Boiler replacement</t>
  </si>
  <si>
    <t>New const less GCs</t>
  </si>
  <si>
    <t>HP Cummings Estimate</t>
  </si>
  <si>
    <t>Estimated Costs with Inflation</t>
  </si>
  <si>
    <t>Owners Contingency</t>
  </si>
  <si>
    <t>BRATTLEBORO MEMORIA HOSPITAL</t>
  </si>
  <si>
    <t>Docket No. GMCB-001-16con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</si>
</sst>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4"/>
      <color rgb="FFFF000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b/>
      <sz val="12"/>
      <color rgb="FF00B0F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44" fontId="8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Alignment="1"/>
    <xf numFmtId="38" fontId="0" fillId="0" borderId="0" xfId="0" applyNumberFormat="1"/>
    <xf numFmtId="38" fontId="0" fillId="0" borderId="0" xfId="0" applyNumberFormat="1" applyBorder="1"/>
    <xf numFmtId="10" fontId="1" fillId="4" borderId="0" xfId="0" applyNumberFormat="1" applyFont="1" applyFill="1" applyAlignment="1">
      <alignment horizontal="right" wrapText="1"/>
    </xf>
    <xf numFmtId="0" fontId="5" fillId="0" borderId="0" xfId="0" applyFont="1"/>
    <xf numFmtId="0" fontId="3" fillId="0" borderId="0" xfId="0" applyFont="1" applyBorder="1"/>
    <xf numFmtId="0" fontId="7" fillId="0" borderId="0" xfId="0" applyFont="1" applyBorder="1"/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/>
    <xf numFmtId="0" fontId="6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7" fillId="0" borderId="4" xfId="0" quotePrefix="1" applyFont="1" applyBorder="1" applyAlignment="1">
      <alignment horizontal="right"/>
    </xf>
    <xf numFmtId="164" fontId="7" fillId="6" borderId="5" xfId="2" applyNumberFormat="1" applyFont="1" applyFill="1" applyBorder="1" applyProtection="1">
      <protection locked="0"/>
    </xf>
    <xf numFmtId="6" fontId="7" fillId="6" borderId="5" xfId="2" applyNumberFormat="1" applyFont="1" applyFill="1" applyBorder="1" applyProtection="1">
      <protection locked="0"/>
    </xf>
    <xf numFmtId="41" fontId="7" fillId="6" borderId="5" xfId="2" applyNumberFormat="1" applyFont="1" applyFill="1" applyBorder="1" applyProtection="1">
      <protection locked="0"/>
    </xf>
    <xf numFmtId="41" fontId="7" fillId="6" borderId="6" xfId="2" applyNumberFormat="1" applyFont="1" applyFill="1" applyBorder="1" applyProtection="1">
      <protection locked="0"/>
    </xf>
    <xf numFmtId="0" fontId="3" fillId="0" borderId="4" xfId="0" applyFont="1" applyBorder="1"/>
    <xf numFmtId="164" fontId="3" fillId="0" borderId="7" xfId="2" applyNumberFormat="1" applyFont="1" applyBorder="1"/>
    <xf numFmtId="0" fontId="3" fillId="0" borderId="5" xfId="0" applyFont="1" applyBorder="1"/>
    <xf numFmtId="0" fontId="0" fillId="0" borderId="8" xfId="0" applyBorder="1"/>
    <xf numFmtId="0" fontId="0" fillId="0" borderId="6" xfId="0" applyBorder="1"/>
    <xf numFmtId="0" fontId="2" fillId="0" borderId="0" xfId="0" applyFont="1" applyAlignment="1">
      <alignment horizontal="center" wrapText="1"/>
    </xf>
    <xf numFmtId="41" fontId="0" fillId="0" borderId="0" xfId="0" applyNumberFormat="1"/>
    <xf numFmtId="43" fontId="0" fillId="0" borderId="0" xfId="0" applyNumberFormat="1"/>
    <xf numFmtId="6" fontId="0" fillId="0" borderId="0" xfId="0" applyNumberFormat="1"/>
    <xf numFmtId="0" fontId="9" fillId="0" borderId="0" xfId="0" applyFont="1"/>
    <xf numFmtId="0" fontId="10" fillId="7" borderId="10" xfId="0" applyFont="1" applyFill="1" applyBorder="1"/>
    <xf numFmtId="0" fontId="0" fillId="7" borderId="11" xfId="0" applyFill="1" applyBorder="1"/>
    <xf numFmtId="0" fontId="10" fillId="8" borderId="10" xfId="0" applyFont="1" applyFill="1" applyBorder="1"/>
    <xf numFmtId="0" fontId="0" fillId="8" borderId="11" xfId="0" applyFill="1" applyBorder="1"/>
    <xf numFmtId="0" fontId="10" fillId="0" borderId="0" xfId="0" applyFont="1" applyFill="1" applyBorder="1"/>
    <xf numFmtId="0" fontId="11" fillId="0" borderId="0" xfId="0" applyFont="1"/>
    <xf numFmtId="0" fontId="0" fillId="7" borderId="12" xfId="0" applyFill="1" applyBorder="1" applyAlignment="1">
      <alignment horizontal="left"/>
    </xf>
    <xf numFmtId="0" fontId="0" fillId="7" borderId="0" xfId="0" applyFill="1"/>
    <xf numFmtId="0" fontId="0" fillId="7" borderId="13" xfId="0" applyFill="1" applyBorder="1"/>
    <xf numFmtId="0" fontId="0" fillId="7" borderId="14" xfId="0" applyFill="1" applyBorder="1"/>
    <xf numFmtId="0" fontId="0" fillId="8" borderId="12" xfId="0" applyFill="1" applyBorder="1" applyAlignment="1">
      <alignment horizontal="left"/>
    </xf>
    <xf numFmtId="0" fontId="0" fillId="8" borderId="0" xfId="0" applyFill="1" applyBorder="1"/>
    <xf numFmtId="0" fontId="0" fillId="8" borderId="13" xfId="0" applyFill="1" applyBorder="1"/>
    <xf numFmtId="0" fontId="0" fillId="8" borderId="13" xfId="0" applyFill="1" applyBorder="1" applyAlignment="1">
      <alignment horizontal="right"/>
    </xf>
    <xf numFmtId="0" fontId="8" fillId="8" borderId="14" xfId="0" applyFont="1" applyFill="1" applyBorder="1"/>
    <xf numFmtId="0" fontId="0" fillId="7" borderId="0" xfId="0" applyFill="1" applyBorder="1"/>
    <xf numFmtId="0" fontId="0" fillId="7" borderId="15" xfId="0" applyFill="1" applyBorder="1"/>
    <xf numFmtId="0" fontId="0" fillId="8" borderId="0" xfId="0" applyFill="1" applyBorder="1" applyAlignment="1">
      <alignment horizontal="right"/>
    </xf>
    <xf numFmtId="0" fontId="0" fillId="8" borderId="15" xfId="0" applyFill="1" applyBorder="1"/>
    <xf numFmtId="0" fontId="8" fillId="7" borderId="12" xfId="0" applyFont="1" applyFill="1" applyBorder="1" applyAlignment="1">
      <alignment horizontal="left"/>
    </xf>
    <xf numFmtId="0" fontId="8" fillId="7" borderId="0" xfId="0" applyFont="1" applyFill="1" applyBorder="1"/>
    <xf numFmtId="0" fontId="8" fillId="8" borderId="12" xfId="0" applyFont="1" applyFill="1" applyBorder="1" applyAlignment="1">
      <alignment horizontal="left"/>
    </xf>
    <xf numFmtId="0" fontId="8" fillId="8" borderId="0" xfId="0" applyFont="1" applyFill="1" applyBorder="1"/>
    <xf numFmtId="0" fontId="8" fillId="8" borderId="0" xfId="0" applyFont="1" applyFill="1" applyBorder="1" applyAlignment="1">
      <alignment horizontal="right"/>
    </xf>
    <xf numFmtId="0" fontId="8" fillId="8" borderId="15" xfId="0" applyFont="1" applyFill="1" applyBorder="1"/>
    <xf numFmtId="0" fontId="6" fillId="0" borderId="0" xfId="0" applyFont="1"/>
    <xf numFmtId="0" fontId="12" fillId="0" borderId="0" xfId="0" applyFont="1"/>
    <xf numFmtId="0" fontId="13" fillId="7" borderId="0" xfId="0" applyFont="1" applyFill="1" applyBorder="1"/>
    <xf numFmtId="0" fontId="13" fillId="8" borderId="0" xfId="0" applyFont="1" applyFill="1" applyBorder="1"/>
    <xf numFmtId="0" fontId="13" fillId="8" borderId="15" xfId="0" applyFont="1" applyFill="1" applyBorder="1"/>
    <xf numFmtId="0" fontId="8" fillId="0" borderId="0" xfId="0" applyFont="1" applyAlignment="1">
      <alignment horizontal="right"/>
    </xf>
    <xf numFmtId="0" fontId="10" fillId="7" borderId="16" xfId="0" applyFont="1" applyFill="1" applyBorder="1" applyAlignment="1">
      <alignment horizontal="left"/>
    </xf>
    <xf numFmtId="0" fontId="0" fillId="7" borderId="9" xfId="0" applyFill="1" applyBorder="1"/>
    <xf numFmtId="0" fontId="10" fillId="7" borderId="9" xfId="0" applyFont="1" applyFill="1" applyBorder="1"/>
    <xf numFmtId="0" fontId="10" fillId="7" borderId="17" xfId="0" applyFont="1" applyFill="1" applyBorder="1"/>
    <xf numFmtId="0" fontId="10" fillId="8" borderId="16" xfId="0" applyFont="1" applyFill="1" applyBorder="1" applyAlignment="1">
      <alignment horizontal="left"/>
    </xf>
    <xf numFmtId="0" fontId="10" fillId="8" borderId="9" xfId="0" applyFont="1" applyFill="1" applyBorder="1"/>
    <xf numFmtId="0" fontId="10" fillId="8" borderId="9" xfId="0" applyFont="1" applyFill="1" applyBorder="1" applyAlignment="1">
      <alignment horizontal="right"/>
    </xf>
    <xf numFmtId="0" fontId="10" fillId="8" borderId="17" xfId="0" applyFont="1" applyFill="1" applyBorder="1"/>
    <xf numFmtId="0" fontId="0" fillId="0" borderId="0" xfId="0" applyAlignment="1">
      <alignment horizontal="right"/>
    </xf>
    <xf numFmtId="14" fontId="0" fillId="0" borderId="0" xfId="0" applyNumberFormat="1"/>
    <xf numFmtId="0" fontId="14" fillId="0" borderId="0" xfId="0" applyFont="1"/>
    <xf numFmtId="5" fontId="0" fillId="0" borderId="0" xfId="0" applyNumberFormat="1"/>
    <xf numFmtId="0" fontId="0" fillId="7" borderId="18" xfId="0" applyFill="1" applyBorder="1" applyAlignment="1">
      <alignment horizontal="centerContinuous" vertical="top"/>
    </xf>
    <xf numFmtId="0" fontId="15" fillId="7" borderId="19" xfId="0" applyFont="1" applyFill="1" applyBorder="1" applyAlignment="1">
      <alignment horizontal="centerContinuous" vertical="top"/>
    </xf>
    <xf numFmtId="0" fontId="0" fillId="7" borderId="19" xfId="0" applyFill="1" applyBorder="1" applyAlignment="1">
      <alignment horizontal="centerContinuous" vertical="top"/>
    </xf>
    <xf numFmtId="0" fontId="0" fillId="7" borderId="20" xfId="0" applyFill="1" applyBorder="1" applyAlignment="1">
      <alignment horizontal="centerContinuous" vertical="top"/>
    </xf>
    <xf numFmtId="0" fontId="0" fillId="9" borderId="21" xfId="0" applyFill="1" applyBorder="1" applyAlignment="1">
      <alignment wrapText="1"/>
    </xf>
    <xf numFmtId="0" fontId="0" fillId="8" borderId="18" xfId="0" applyFill="1" applyBorder="1" applyAlignment="1">
      <alignment horizontal="centerContinuous" vertical="top"/>
    </xf>
    <xf numFmtId="0" fontId="15" fillId="8" borderId="19" xfId="0" applyFont="1" applyFill="1" applyBorder="1" applyAlignment="1">
      <alignment horizontal="centerContinuous" vertical="top"/>
    </xf>
    <xf numFmtId="0" fontId="0" fillId="8" borderId="19" xfId="0" applyFill="1" applyBorder="1" applyAlignment="1">
      <alignment horizontal="centerContinuous" vertical="top"/>
    </xf>
    <xf numFmtId="0" fontId="0" fillId="8" borderId="20" xfId="0" applyFill="1" applyBorder="1" applyAlignment="1">
      <alignment horizontal="centerContinuous" vertical="top"/>
    </xf>
    <xf numFmtId="0" fontId="0" fillId="9" borderId="21" xfId="0" applyFill="1" applyBorder="1"/>
    <xf numFmtId="0" fontId="0" fillId="6" borderId="18" xfId="0" applyFill="1" applyBorder="1" applyAlignment="1">
      <alignment horizontal="center" vertical="top"/>
    </xf>
    <xf numFmtId="0" fontId="15" fillId="6" borderId="19" xfId="0" applyFont="1" applyFill="1" applyBorder="1" applyAlignment="1">
      <alignment horizontal="centerContinuous" vertical="top"/>
    </xf>
    <xf numFmtId="0" fontId="0" fillId="6" borderId="19" xfId="0" applyFill="1" applyBorder="1" applyAlignment="1">
      <alignment horizontal="center" vertical="top"/>
    </xf>
    <xf numFmtId="0" fontId="0" fillId="6" borderId="22" xfId="0" applyFill="1" applyBorder="1" applyAlignment="1">
      <alignment horizontal="center" vertical="top"/>
    </xf>
    <xf numFmtId="0" fontId="0" fillId="9" borderId="23" xfId="0" applyFill="1" applyBorder="1" applyAlignment="1">
      <alignment horizontal="centerContinuous" vertical="top"/>
    </xf>
    <xf numFmtId="0" fontId="16" fillId="7" borderId="24" xfId="0" applyFont="1" applyFill="1" applyBorder="1" applyAlignment="1">
      <alignment horizontal="center" vertical="top"/>
    </xf>
    <xf numFmtId="0" fontId="16" fillId="7" borderId="8" xfId="0" applyFont="1" applyFill="1" applyBorder="1" applyAlignment="1">
      <alignment horizontal="center" vertical="top"/>
    </xf>
    <xf numFmtId="0" fontId="16" fillId="7" borderId="8" xfId="0" applyFont="1" applyFill="1" applyBorder="1" applyAlignment="1">
      <alignment horizontal="center" vertical="top" wrapText="1"/>
    </xf>
    <xf numFmtId="0" fontId="16" fillId="7" borderId="25" xfId="0" applyFont="1" applyFill="1" applyBorder="1" applyAlignment="1">
      <alignment horizontal="center" vertical="top" wrapText="1"/>
    </xf>
    <xf numFmtId="0" fontId="16" fillId="8" borderId="24" xfId="0" applyFont="1" applyFill="1" applyBorder="1" applyAlignment="1">
      <alignment horizontal="center" vertical="top"/>
    </xf>
    <xf numFmtId="0" fontId="16" fillId="8" borderId="8" xfId="0" applyFont="1" applyFill="1" applyBorder="1" applyAlignment="1">
      <alignment horizontal="center" vertical="top"/>
    </xf>
    <xf numFmtId="0" fontId="16" fillId="8" borderId="8" xfId="0" applyFont="1" applyFill="1" applyBorder="1" applyAlignment="1">
      <alignment horizontal="center" vertical="top" wrapText="1"/>
    </xf>
    <xf numFmtId="0" fontId="16" fillId="8" borderId="25" xfId="0" applyFont="1" applyFill="1" applyBorder="1" applyAlignment="1">
      <alignment horizontal="center" vertical="top" wrapText="1"/>
    </xf>
    <xf numFmtId="0" fontId="16" fillId="6" borderId="8" xfId="0" applyFont="1" applyFill="1" applyBorder="1" applyAlignment="1">
      <alignment horizontal="center" vertical="top"/>
    </xf>
    <xf numFmtId="0" fontId="16" fillId="6" borderId="8" xfId="0" applyFont="1" applyFill="1" applyBorder="1" applyAlignment="1">
      <alignment horizontal="center" vertical="top" wrapText="1"/>
    </xf>
    <xf numFmtId="0" fontId="16" fillId="6" borderId="25" xfId="0" applyFont="1" applyFill="1" applyBorder="1" applyAlignment="1">
      <alignment horizontal="center" vertical="top" wrapTex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9" borderId="29" xfId="0" applyFill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0" fillId="10" borderId="33" xfId="0" applyFont="1" applyFill="1" applyBorder="1"/>
    <xf numFmtId="0" fontId="10" fillId="10" borderId="27" xfId="0" applyFont="1" applyFill="1" applyBorder="1"/>
    <xf numFmtId="0" fontId="0" fillId="10" borderId="27" xfId="0" applyFill="1" applyBorder="1"/>
    <xf numFmtId="0" fontId="0" fillId="10" borderId="26" xfId="0" applyFill="1" applyBorder="1"/>
    <xf numFmtId="5" fontId="0" fillId="10" borderId="27" xfId="0" applyNumberFormat="1" applyFill="1" applyBorder="1"/>
    <xf numFmtId="5" fontId="0" fillId="10" borderId="28" xfId="0" applyNumberFormat="1" applyFill="1" applyBorder="1"/>
    <xf numFmtId="5" fontId="0" fillId="10" borderId="34" xfId="0" applyNumberFormat="1" applyFill="1" applyBorder="1"/>
    <xf numFmtId="0" fontId="0" fillId="10" borderId="30" xfId="0" applyFill="1" applyBorder="1"/>
    <xf numFmtId="5" fontId="0" fillId="10" borderId="31" xfId="0" applyNumberFormat="1" applyFill="1" applyBorder="1"/>
    <xf numFmtId="5" fontId="0" fillId="10" borderId="32" xfId="0" applyNumberFormat="1" applyFill="1" applyBorder="1"/>
    <xf numFmtId="0" fontId="0" fillId="10" borderId="31" xfId="0" applyFill="1" applyBorder="1"/>
    <xf numFmtId="0" fontId="0" fillId="10" borderId="32" xfId="0" applyFill="1" applyBorder="1"/>
    <xf numFmtId="0" fontId="0" fillId="0" borderId="3" xfId="0" applyBorder="1"/>
    <xf numFmtId="7" fontId="0" fillId="0" borderId="30" xfId="0" applyNumberFormat="1" applyBorder="1"/>
    <xf numFmtId="5" fontId="0" fillId="0" borderId="31" xfId="0" applyNumberFormat="1" applyBorder="1"/>
    <xf numFmtId="5" fontId="0" fillId="0" borderId="32" xfId="0" applyNumberFormat="1" applyBorder="1"/>
    <xf numFmtId="5" fontId="0" fillId="9" borderId="34" xfId="0" applyNumberFormat="1" applyFill="1" applyBorder="1"/>
    <xf numFmtId="5" fontId="0" fillId="0" borderId="30" xfId="0" applyNumberFormat="1" applyBorder="1"/>
    <xf numFmtId="0" fontId="0" fillId="0" borderId="5" xfId="0" applyBorder="1"/>
    <xf numFmtId="7" fontId="0" fillId="0" borderId="32" xfId="0" applyNumberFormat="1" applyBorder="1"/>
    <xf numFmtId="7" fontId="0" fillId="9" borderId="34" xfId="0" applyNumberFormat="1" applyFill="1" applyBorder="1"/>
    <xf numFmtId="7" fontId="0" fillId="0" borderId="31" xfId="0" applyNumberFormat="1" applyBorder="1"/>
    <xf numFmtId="10" fontId="0" fillId="0" borderId="32" xfId="0" applyNumberFormat="1" applyBorder="1"/>
    <xf numFmtId="0" fontId="8" fillId="0" borderId="27" xfId="0" applyFont="1" applyBorder="1"/>
    <xf numFmtId="0" fontId="10" fillId="0" borderId="3" xfId="0" applyFont="1" applyBorder="1"/>
    <xf numFmtId="0" fontId="10" fillId="0" borderId="27" xfId="0" applyFont="1" applyBorder="1"/>
    <xf numFmtId="0" fontId="8" fillId="10" borderId="26" xfId="0" applyFont="1" applyFill="1" applyBorder="1"/>
    <xf numFmtId="10" fontId="0" fillId="10" borderId="32" xfId="0" applyNumberFormat="1" applyFill="1" applyBorder="1"/>
    <xf numFmtId="0" fontId="8" fillId="0" borderId="27" xfId="0" quotePrefix="1" applyFont="1" applyBorder="1"/>
    <xf numFmtId="5" fontId="0" fillId="0" borderId="5" xfId="0" applyNumberFormat="1" applyBorder="1"/>
    <xf numFmtId="7" fontId="0" fillId="0" borderId="35" xfId="0" applyNumberFormat="1" applyBorder="1"/>
    <xf numFmtId="5" fontId="0" fillId="0" borderId="36" xfId="0" applyNumberFormat="1" applyBorder="1"/>
    <xf numFmtId="7" fontId="0" fillId="0" borderId="37" xfId="0" applyNumberFormat="1" applyBorder="1"/>
    <xf numFmtId="10" fontId="0" fillId="0" borderId="37" xfId="0" applyNumberFormat="1" applyBorder="1"/>
    <xf numFmtId="7" fontId="0" fillId="0" borderId="0" xfId="0" applyNumberFormat="1" applyBorder="1"/>
    <xf numFmtId="5" fontId="0" fillId="0" borderId="0" xfId="0" applyNumberFormat="1" applyBorder="1"/>
    <xf numFmtId="7" fontId="0" fillId="9" borderId="0" xfId="0" applyNumberFormat="1" applyFill="1" applyBorder="1"/>
    <xf numFmtId="0" fontId="10" fillId="11" borderId="38" xfId="0" applyFont="1" applyFill="1" applyBorder="1"/>
    <xf numFmtId="0" fontId="10" fillId="11" borderId="39" xfId="0" applyFont="1" applyFill="1" applyBorder="1"/>
    <xf numFmtId="7" fontId="10" fillId="11" borderId="39" xfId="0" applyNumberFormat="1" applyFont="1" applyFill="1" applyBorder="1"/>
    <xf numFmtId="5" fontId="10" fillId="11" borderId="39" xfId="0" applyNumberFormat="1" applyFont="1" applyFill="1" applyBorder="1"/>
    <xf numFmtId="7" fontId="10" fillId="11" borderId="40" xfId="0" applyNumberFormat="1" applyFont="1" applyFill="1" applyBorder="1"/>
    <xf numFmtId="10" fontId="10" fillId="11" borderId="41" xfId="0" applyNumberFormat="1" applyFont="1" applyFill="1" applyBorder="1"/>
    <xf numFmtId="0" fontId="0" fillId="10" borderId="7" xfId="0" applyFill="1" applyBorder="1"/>
    <xf numFmtId="0" fontId="0" fillId="0" borderId="33" xfId="0" applyBorder="1"/>
    <xf numFmtId="0" fontId="8" fillId="0" borderId="27" xfId="0" applyFont="1" applyFill="1" applyBorder="1"/>
    <xf numFmtId="0" fontId="0" fillId="0" borderId="27" xfId="0" applyFill="1" applyBorder="1"/>
    <xf numFmtId="10" fontId="0" fillId="0" borderId="27" xfId="0" applyNumberFormat="1" applyBorder="1"/>
    <xf numFmtId="7" fontId="0" fillId="0" borderId="28" xfId="0" applyNumberFormat="1" applyBorder="1"/>
    <xf numFmtId="7" fontId="0" fillId="9" borderId="27" xfId="0" applyNumberFormat="1" applyFill="1" applyBorder="1"/>
    <xf numFmtId="7" fontId="0" fillId="0" borderId="7" xfId="0" applyNumberFormat="1" applyBorder="1"/>
    <xf numFmtId="0" fontId="0" fillId="0" borderId="0" xfId="0" applyFill="1" applyBorder="1"/>
    <xf numFmtId="10" fontId="0" fillId="0" borderId="0" xfId="0" applyNumberFormat="1" applyBorder="1"/>
    <xf numFmtId="0" fontId="10" fillId="12" borderId="33" xfId="0" applyFont="1" applyFill="1" applyBorder="1"/>
    <xf numFmtId="0" fontId="10" fillId="12" borderId="27" xfId="0" applyFont="1" applyFill="1" applyBorder="1"/>
    <xf numFmtId="0" fontId="0" fillId="12" borderId="27" xfId="0" applyFill="1" applyBorder="1"/>
    <xf numFmtId="0" fontId="8" fillId="12" borderId="26" xfId="0" applyFont="1" applyFill="1" applyBorder="1"/>
    <xf numFmtId="5" fontId="0" fillId="12" borderId="27" xfId="0" applyNumberFormat="1" applyFill="1" applyBorder="1"/>
    <xf numFmtId="5" fontId="0" fillId="12" borderId="28" xfId="0" applyNumberFormat="1" applyFill="1" applyBorder="1"/>
    <xf numFmtId="2" fontId="0" fillId="0" borderId="0" xfId="0" applyNumberFormat="1"/>
    <xf numFmtId="5" fontId="0" fillId="13" borderId="31" xfId="0" applyNumberFormat="1" applyFill="1" applyBorder="1"/>
    <xf numFmtId="5" fontId="0" fillId="14" borderId="31" xfId="0" applyNumberFormat="1" applyFill="1" applyBorder="1"/>
    <xf numFmtId="0" fontId="2" fillId="0" borderId="0" xfId="0" applyFont="1"/>
    <xf numFmtId="0" fontId="17" fillId="2" borderId="42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left"/>
    </xf>
    <xf numFmtId="0" fontId="0" fillId="0" borderId="31" xfId="0" applyBorder="1" applyAlignment="1"/>
    <xf numFmtId="0" fontId="1" fillId="2" borderId="31" xfId="0" applyFont="1" applyFill="1" applyBorder="1" applyAlignment="1">
      <alignment horizontal="left" wrapText="1"/>
    </xf>
    <xf numFmtId="0" fontId="1" fillId="2" borderId="31" xfId="0" applyFont="1" applyFill="1" applyBorder="1" applyAlignment="1">
      <alignment horizontal="left"/>
    </xf>
    <xf numFmtId="3" fontId="1" fillId="3" borderId="31" xfId="0" applyNumberFormat="1" applyFont="1" applyFill="1" applyBorder="1" applyAlignment="1">
      <alignment horizontal="right" wrapText="1"/>
    </xf>
    <xf numFmtId="38" fontId="0" fillId="0" borderId="31" xfId="0" applyNumberFormat="1" applyBorder="1"/>
    <xf numFmtId="0" fontId="1" fillId="3" borderId="31" xfId="0" applyFont="1" applyFill="1" applyBorder="1" applyAlignment="1">
      <alignment horizontal="right" wrapText="1"/>
    </xf>
    <xf numFmtId="3" fontId="1" fillId="5" borderId="31" xfId="0" applyNumberFormat="1" applyFont="1" applyFill="1" applyBorder="1" applyAlignment="1">
      <alignment horizontal="right" wrapText="1"/>
    </xf>
    <xf numFmtId="0" fontId="2" fillId="0" borderId="31" xfId="0" applyFont="1" applyBorder="1" applyAlignment="1"/>
    <xf numFmtId="38" fontId="1" fillId="4" borderId="31" xfId="0" applyNumberFormat="1" applyFont="1" applyFill="1" applyBorder="1" applyAlignment="1">
      <alignment horizontal="right" wrapText="1"/>
    </xf>
    <xf numFmtId="38" fontId="1" fillId="4" borderId="31" xfId="0" applyNumberFormat="1" applyFont="1" applyFill="1" applyBorder="1" applyAlignment="1">
      <alignment horizontal="left" wrapText="1"/>
    </xf>
    <xf numFmtId="10" fontId="0" fillId="0" borderId="31" xfId="0" applyNumberFormat="1" applyBorder="1"/>
    <xf numFmtId="6" fontId="0" fillId="0" borderId="31" xfId="0" applyNumberFormat="1" applyBorder="1"/>
    <xf numFmtId="0" fontId="4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</cellXfs>
  <cellStyles count="3">
    <cellStyle name="Currency 2" xfId="2"/>
    <cellStyle name="Normal" xfId="0" builtinId="0"/>
    <cellStyle name="Normal_B04H3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2016\BMH%20CON_Tables%201-9%20Modernization20161205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ssumptions"/>
      <sheetName val="Table 1"/>
      <sheetName val="Table 2"/>
      <sheetName val="PL"/>
      <sheetName val="BalSht"/>
      <sheetName val="Cashflow"/>
      <sheetName val="Payer"/>
      <sheetName val="Util_Statistics"/>
      <sheetName val="STAFF"/>
      <sheetName val="Stats"/>
      <sheetName val="Report Info"/>
      <sheetName val="MOR Ratios"/>
    </sheetNames>
    <sheetDataSet>
      <sheetData sheetId="0"/>
      <sheetData sheetId="1">
        <row r="2">
          <cell r="A2" t="str">
            <v>BRATTLEBORO MEMORIAL HOSPITAL</v>
          </cell>
        </row>
      </sheetData>
      <sheetData sheetId="2"/>
      <sheetData sheetId="3"/>
      <sheetData sheetId="4">
        <row r="4">
          <cell r="D4" t="str">
            <v>Modernization Project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workbookViewId="0">
      <selection activeCell="C31" sqref="C31"/>
    </sheetView>
  </sheetViews>
  <sheetFormatPr defaultColWidth="9.109375" defaultRowHeight="14.4" x14ac:dyDescent="0.3"/>
  <cols>
    <col min="1" max="1" width="8" customWidth="1"/>
    <col min="2" max="2" width="7.88671875" customWidth="1"/>
    <col min="3" max="3" width="36.5546875" customWidth="1"/>
    <col min="4" max="4" width="2.88671875" customWidth="1"/>
    <col min="5" max="5" width="16.88671875" customWidth="1"/>
    <col min="6" max="6" width="4.6640625" customWidth="1"/>
    <col min="7" max="10" width="15.6640625" customWidth="1"/>
    <col min="12" max="12" width="13.44140625" bestFit="1" customWidth="1"/>
  </cols>
  <sheetData>
    <row r="1" spans="1:12" s="5" customFormat="1" ht="13.8" x14ac:dyDescent="0.25">
      <c r="A1" s="183" t="str">
        <f>+[1]Assumptions!A2</f>
        <v>BRATTLEBORO MEMORIAL HOSPITAL</v>
      </c>
      <c r="B1" s="183"/>
      <c r="C1" s="183"/>
      <c r="D1" s="183"/>
      <c r="E1" s="183"/>
      <c r="F1" s="183"/>
    </row>
    <row r="2" spans="1:12" s="5" customFormat="1" ht="15.6" x14ac:dyDescent="0.3">
      <c r="A2" s="184" t="str">
        <f>+[1]PL!D4</f>
        <v>Modernization Project</v>
      </c>
      <c r="B2" s="184"/>
      <c r="C2" s="184"/>
      <c r="D2" s="184"/>
      <c r="E2" s="184"/>
      <c r="F2" s="184"/>
    </row>
    <row r="3" spans="1:12" s="5" customFormat="1" ht="13.8" x14ac:dyDescent="0.25">
      <c r="A3" s="185" t="s">
        <v>41</v>
      </c>
      <c r="B3" s="185"/>
      <c r="C3" s="185"/>
      <c r="D3" s="185"/>
      <c r="E3" s="185"/>
      <c r="F3" s="185"/>
    </row>
    <row r="4" spans="1:12" s="5" customFormat="1" ht="43.2" x14ac:dyDescent="0.3">
      <c r="A4" s="185" t="s">
        <v>42</v>
      </c>
      <c r="B4" s="185"/>
      <c r="C4" s="185"/>
      <c r="D4" s="185"/>
      <c r="E4" s="185"/>
      <c r="F4" s="185"/>
      <c r="G4" s="25" t="s">
        <v>34</v>
      </c>
      <c r="H4" s="25" t="s">
        <v>35</v>
      </c>
      <c r="I4" s="25" t="s">
        <v>36</v>
      </c>
      <c r="J4" s="25" t="s">
        <v>37</v>
      </c>
    </row>
    <row r="5" spans="1:12" ht="6.9" customHeight="1" x14ac:dyDescent="0.3">
      <c r="A5" s="184"/>
      <c r="B5" s="184"/>
      <c r="C5" s="184"/>
      <c r="D5" s="184"/>
      <c r="E5" s="184"/>
      <c r="F5" s="184"/>
    </row>
    <row r="6" spans="1:12" ht="5.0999999999999996" customHeight="1" x14ac:dyDescent="0.3"/>
    <row r="7" spans="1:12" ht="5.0999999999999996" customHeight="1" x14ac:dyDescent="0.3"/>
    <row r="8" spans="1:12" ht="15.6" x14ac:dyDescent="0.3">
      <c r="A8" s="12" t="s">
        <v>43</v>
      </c>
      <c r="B8" s="13"/>
      <c r="C8" s="13"/>
      <c r="D8" s="13"/>
      <c r="E8" s="14"/>
    </row>
    <row r="9" spans="1:12" ht="15.6" x14ac:dyDescent="0.3">
      <c r="A9" s="15" t="s">
        <v>44</v>
      </c>
      <c r="B9" s="7" t="s">
        <v>1</v>
      </c>
      <c r="C9" s="6"/>
      <c r="D9" s="6"/>
      <c r="E9" s="16">
        <f>12616740-E11</f>
        <v>12044188</v>
      </c>
      <c r="G9" s="16">
        <f>Summary!F25-G11</f>
        <v>86307.287500000006</v>
      </c>
      <c r="H9" s="16">
        <f>Summary!F45-H11</f>
        <v>10220302.040000001</v>
      </c>
      <c r="I9" s="16"/>
      <c r="J9" s="16">
        <f>+Summary!F83</f>
        <v>1737576.0943750001</v>
      </c>
      <c r="L9" s="11">
        <f t="shared" ref="L9:L17" si="0">SUM(G9:J9)-E9</f>
        <v>-2.578125</v>
      </c>
    </row>
    <row r="10" spans="1:12" ht="15.6" x14ac:dyDescent="0.3">
      <c r="A10" s="15" t="s">
        <v>45</v>
      </c>
      <c r="B10" s="7" t="s">
        <v>46</v>
      </c>
      <c r="C10" s="6"/>
      <c r="D10" s="6"/>
      <c r="E10" s="17">
        <v>1905688</v>
      </c>
      <c r="G10" s="17"/>
      <c r="H10" s="17"/>
      <c r="I10" s="17">
        <f>+Summary!F64-I11</f>
        <v>1905687.42</v>
      </c>
      <c r="J10" s="17"/>
      <c r="L10" s="11">
        <f t="shared" si="0"/>
        <v>-0.58000000007450581</v>
      </c>
    </row>
    <row r="11" spans="1:12" ht="15.6" x14ac:dyDescent="0.3">
      <c r="A11" s="15" t="s">
        <v>47</v>
      </c>
      <c r="B11" s="7" t="s">
        <v>48</v>
      </c>
      <c r="C11" s="6"/>
      <c r="D11" s="6"/>
      <c r="E11" s="18">
        <v>572552</v>
      </c>
      <c r="G11" s="18">
        <f>Summary!F23</f>
        <v>0</v>
      </c>
      <c r="H11" s="18">
        <f>Summary!F43</f>
        <v>572552.5</v>
      </c>
      <c r="I11" s="18">
        <f>Summary!F63</f>
        <v>0</v>
      </c>
      <c r="J11" s="18"/>
      <c r="L11" s="11">
        <f t="shared" si="0"/>
        <v>0.5</v>
      </c>
    </row>
    <row r="12" spans="1:12" ht="15.6" x14ac:dyDescent="0.3">
      <c r="A12" s="15" t="s">
        <v>49</v>
      </c>
      <c r="B12" s="7" t="s">
        <v>50</v>
      </c>
      <c r="C12" s="6"/>
      <c r="D12" s="6"/>
      <c r="E12" s="18">
        <v>506165</v>
      </c>
      <c r="G12" s="18">
        <f>Summary!J25</f>
        <v>0</v>
      </c>
      <c r="H12" s="18">
        <f>Summary!J45</f>
        <v>506165</v>
      </c>
      <c r="I12" s="18"/>
      <c r="J12" s="18"/>
      <c r="L12" s="11">
        <f t="shared" si="0"/>
        <v>0</v>
      </c>
    </row>
    <row r="13" spans="1:12" ht="15.6" x14ac:dyDescent="0.3">
      <c r="A13" s="15" t="s">
        <v>51</v>
      </c>
      <c r="B13" s="7" t="s">
        <v>52</v>
      </c>
      <c r="C13" s="6"/>
      <c r="D13" s="6"/>
      <c r="E13" s="17">
        <v>726119</v>
      </c>
      <c r="G13" s="17">
        <f>Summary!G25</f>
        <v>4315.3599999999997</v>
      </c>
      <c r="H13" s="17">
        <f>Summary!G45</f>
        <v>539642.76</v>
      </c>
      <c r="I13" s="17">
        <f>+Summary!G64</f>
        <v>95284.390000000014</v>
      </c>
      <c r="J13" s="17">
        <f>+Summary!G83</f>
        <v>86878.81</v>
      </c>
      <c r="L13" s="11">
        <f t="shared" si="0"/>
        <v>2.3200000000651926</v>
      </c>
    </row>
    <row r="14" spans="1:12" ht="15.6" x14ac:dyDescent="0.3">
      <c r="A14" s="15" t="s">
        <v>53</v>
      </c>
      <c r="B14" s="7" t="s">
        <v>54</v>
      </c>
      <c r="C14" s="6"/>
      <c r="D14" s="6"/>
      <c r="E14" s="17">
        <v>1524855</v>
      </c>
      <c r="G14" s="17">
        <f>Summary!H25</f>
        <v>9062.26</v>
      </c>
      <c r="H14" s="17">
        <f>Summary!H45</f>
        <v>1133249.76</v>
      </c>
      <c r="I14" s="17">
        <f>+Summary!H64</f>
        <v>200097.21000000002</v>
      </c>
      <c r="J14" s="17">
        <f>+Summary!H83</f>
        <v>182445.49</v>
      </c>
      <c r="L14" s="11">
        <f t="shared" si="0"/>
        <v>-0.28000000002793968</v>
      </c>
    </row>
    <row r="15" spans="1:12" ht="15.6" x14ac:dyDescent="0.3">
      <c r="A15" s="15" t="s">
        <v>55</v>
      </c>
      <c r="B15" s="7" t="s">
        <v>56</v>
      </c>
      <c r="C15" s="6"/>
      <c r="D15" s="6"/>
      <c r="E15" s="18">
        <v>461269</v>
      </c>
      <c r="G15" s="18">
        <f>Summary!I25</f>
        <v>2741.34</v>
      </c>
      <c r="H15" s="18">
        <f>Summary!I45</f>
        <v>342808.06000000011</v>
      </c>
      <c r="I15" s="17">
        <f>+Summary!I64</f>
        <v>60529.369999999995</v>
      </c>
      <c r="J15" s="17">
        <f>+Summary!I83</f>
        <v>55189.760000000002</v>
      </c>
      <c r="L15" s="11">
        <f t="shared" si="0"/>
        <v>-0.469999999855645</v>
      </c>
    </row>
    <row r="16" spans="1:12" ht="15.6" x14ac:dyDescent="0.3">
      <c r="A16" s="15" t="s">
        <v>57</v>
      </c>
      <c r="B16" s="7" t="s">
        <v>58</v>
      </c>
      <c r="C16" s="6"/>
      <c r="D16" s="6"/>
      <c r="E16" s="19">
        <v>0</v>
      </c>
      <c r="G16" s="19">
        <v>0</v>
      </c>
      <c r="H16" s="19">
        <v>0</v>
      </c>
      <c r="I16" s="19">
        <v>0</v>
      </c>
      <c r="J16" s="19">
        <v>0</v>
      </c>
      <c r="L16" s="11">
        <f t="shared" si="0"/>
        <v>0</v>
      </c>
    </row>
    <row r="17" spans="1:12" ht="15.6" x14ac:dyDescent="0.3">
      <c r="A17" s="20"/>
      <c r="B17" s="6"/>
      <c r="C17" s="9" t="s">
        <v>59</v>
      </c>
      <c r="D17" s="6"/>
      <c r="E17" s="21">
        <f>SUM(E9:E16)</f>
        <v>17740836</v>
      </c>
      <c r="G17" s="21">
        <f t="shared" ref="G17:J17" si="1">SUM(G9:G16)</f>
        <v>102426.2475</v>
      </c>
      <c r="H17" s="21">
        <f t="shared" si="1"/>
        <v>13314720.120000001</v>
      </c>
      <c r="I17" s="21">
        <f t="shared" si="1"/>
        <v>2261598.39</v>
      </c>
      <c r="J17" s="21">
        <f t="shared" si="1"/>
        <v>2062090.1543750002</v>
      </c>
      <c r="L17" s="11">
        <f t="shared" si="0"/>
        <v>-1.0881249979138374</v>
      </c>
    </row>
    <row r="18" spans="1:12" ht="5.0999999999999996" customHeight="1" x14ac:dyDescent="0.3">
      <c r="A18" s="20"/>
      <c r="B18" s="6"/>
      <c r="C18" s="6"/>
      <c r="D18" s="6"/>
      <c r="E18" s="22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4"/>
  <sheetViews>
    <sheetView tabSelected="1"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D32" sqref="D32"/>
    </sheetView>
  </sheetViews>
  <sheetFormatPr defaultRowHeight="15" customHeight="1" x14ac:dyDescent="0.3"/>
  <cols>
    <col min="1" max="1" width="7.109375" customWidth="1"/>
    <col min="2" max="2" width="12" customWidth="1"/>
    <col min="3" max="3" width="26.33203125" style="1" customWidth="1"/>
    <col min="4" max="6" width="10.6640625" customWidth="1"/>
    <col min="7" max="7" width="12" customWidth="1"/>
    <col min="8" max="8" width="12.33203125" customWidth="1"/>
    <col min="9" max="9" width="12" customWidth="1"/>
    <col min="10" max="10" width="9.5546875" customWidth="1"/>
    <col min="11" max="11" width="13.33203125" customWidth="1"/>
    <col min="13" max="13" width="10.88671875" bestFit="1" customWidth="1"/>
    <col min="14" max="14" width="9.6640625" bestFit="1" customWidth="1"/>
    <col min="15" max="15" width="14.33203125" bestFit="1" customWidth="1"/>
    <col min="16" max="16" width="10.5546875" bestFit="1" customWidth="1"/>
  </cols>
  <sheetData>
    <row r="1" spans="1:11" ht="15" customHeight="1" x14ac:dyDescent="0.3">
      <c r="A1" s="168" t="s">
        <v>242</v>
      </c>
      <c r="G1" s="28"/>
      <c r="H1" s="28"/>
      <c r="I1" s="28"/>
    </row>
    <row r="2" spans="1:11" ht="15" customHeight="1" x14ac:dyDescent="0.3">
      <c r="A2" s="168" t="s">
        <v>243</v>
      </c>
    </row>
    <row r="3" spans="1:11" ht="15" customHeight="1" x14ac:dyDescent="0.3">
      <c r="A3" s="168"/>
    </row>
    <row r="5" spans="1:11" ht="15" customHeight="1" x14ac:dyDescent="0.3">
      <c r="E5" s="4">
        <v>0.04</v>
      </c>
      <c r="G5" s="4">
        <v>0.05</v>
      </c>
      <c r="H5" s="4">
        <v>0.1</v>
      </c>
      <c r="I5" s="4">
        <v>2.75E-2</v>
      </c>
    </row>
    <row r="6" spans="1:11" ht="45" customHeight="1" x14ac:dyDescent="0.3">
      <c r="D6" s="169" t="s">
        <v>239</v>
      </c>
      <c r="E6" s="169" t="s">
        <v>0</v>
      </c>
      <c r="F6" s="169" t="s">
        <v>240</v>
      </c>
      <c r="G6" s="169" t="s">
        <v>39</v>
      </c>
      <c r="H6" s="169" t="s">
        <v>241</v>
      </c>
      <c r="I6" s="169" t="s">
        <v>60</v>
      </c>
      <c r="J6" s="169" t="s">
        <v>62</v>
      </c>
      <c r="K6" s="169" t="s">
        <v>40</v>
      </c>
    </row>
    <row r="7" spans="1:11" ht="15" customHeight="1" x14ac:dyDescent="0.3">
      <c r="A7" s="170" t="s">
        <v>34</v>
      </c>
      <c r="B7" s="104"/>
      <c r="C7" s="171"/>
      <c r="D7" s="104"/>
      <c r="E7" s="104"/>
      <c r="F7" s="104"/>
      <c r="G7" s="104"/>
      <c r="H7" s="104"/>
      <c r="I7" s="104"/>
      <c r="J7" s="104"/>
      <c r="K7" s="104"/>
    </row>
    <row r="8" spans="1:11" ht="15" customHeight="1" x14ac:dyDescent="0.3">
      <c r="A8" s="104"/>
      <c r="B8" s="172" t="s">
        <v>2</v>
      </c>
      <c r="C8" s="173" t="s">
        <v>3</v>
      </c>
      <c r="D8" s="174">
        <f>0.0068*'HPC Div est'!I21</f>
        <v>4937.7775000000001</v>
      </c>
      <c r="E8" s="175">
        <f>ROUND(SUM($D8:D8)*E$5,2)</f>
        <v>197.51</v>
      </c>
      <c r="F8" s="175">
        <f>SUM(D8:E8)</f>
        <v>5135.2875000000004</v>
      </c>
      <c r="G8" s="175">
        <f>ROUND(SUM($F8:F8)*G$5,2)</f>
        <v>256.76</v>
      </c>
      <c r="H8" s="175">
        <f>ROUND(SUM($F8:G8)*H$5,2)</f>
        <v>539.20000000000005</v>
      </c>
      <c r="I8" s="175">
        <f>ROUND(SUM($F8:H8)*I$5,2)</f>
        <v>163.11000000000001</v>
      </c>
      <c r="J8" s="175"/>
      <c r="K8" s="175">
        <f>SUM(F8:J8)</f>
        <v>6094.3575000000001</v>
      </c>
    </row>
    <row r="9" spans="1:11" ht="15" customHeight="1" x14ac:dyDescent="0.3">
      <c r="A9" s="104"/>
      <c r="B9" s="172" t="s">
        <v>4</v>
      </c>
      <c r="C9" s="173" t="s">
        <v>5</v>
      </c>
      <c r="D9" s="174">
        <f>+'HPC Div est'!H24</f>
        <v>78050</v>
      </c>
      <c r="E9" s="175">
        <f>ROUND(SUM($D9:D9)*E$5,2)</f>
        <v>3122</v>
      </c>
      <c r="F9" s="175">
        <f t="shared" ref="F9:F24" si="0">SUM(D9:E9)</f>
        <v>81172</v>
      </c>
      <c r="G9" s="175">
        <f>ROUND(SUM($F9:F9)*G$5,2)</f>
        <v>4058.6</v>
      </c>
      <c r="H9" s="175">
        <f>ROUND(SUM($F9:G9)*H$5,2)</f>
        <v>8523.06</v>
      </c>
      <c r="I9" s="175">
        <f>ROUND(SUM($F9:H9)*I$5,2)</f>
        <v>2578.23</v>
      </c>
      <c r="J9" s="175"/>
      <c r="K9" s="175">
        <f t="shared" ref="K9:K24" si="1">SUM(F9:J9)</f>
        <v>96331.89</v>
      </c>
    </row>
    <row r="10" spans="1:11" ht="15" customHeight="1" x14ac:dyDescent="0.3">
      <c r="A10" s="104"/>
      <c r="B10" s="172" t="s">
        <v>6</v>
      </c>
      <c r="C10" s="173" t="s">
        <v>7</v>
      </c>
      <c r="D10" s="176">
        <v>0</v>
      </c>
      <c r="E10" s="175">
        <f>ROUND(SUM($D10:D10)*E$5,2)</f>
        <v>0</v>
      </c>
      <c r="F10" s="175">
        <f t="shared" si="0"/>
        <v>0</v>
      </c>
      <c r="G10" s="175">
        <f>ROUND(SUM($F10:F10)*G$5,2)</f>
        <v>0</v>
      </c>
      <c r="H10" s="175">
        <f>ROUND(SUM($F10:G10)*H$5,2)</f>
        <v>0</v>
      </c>
      <c r="I10" s="175">
        <f>ROUND(SUM($F10:H10)*I$5,2)</f>
        <v>0</v>
      </c>
      <c r="J10" s="175"/>
      <c r="K10" s="175">
        <f t="shared" si="1"/>
        <v>0</v>
      </c>
    </row>
    <row r="11" spans="1:11" ht="15" customHeight="1" x14ac:dyDescent="0.3">
      <c r="A11" s="104"/>
      <c r="B11" s="172" t="s">
        <v>8</v>
      </c>
      <c r="C11" s="173" t="s">
        <v>9</v>
      </c>
      <c r="D11" s="174">
        <v>0</v>
      </c>
      <c r="E11" s="175">
        <f>ROUND(SUM($D11:D11)*E$5,2)</f>
        <v>0</v>
      </c>
      <c r="F11" s="175">
        <f t="shared" si="0"/>
        <v>0</v>
      </c>
      <c r="G11" s="175">
        <f>ROUND(SUM($F11:F11)*G$5,2)</f>
        <v>0</v>
      </c>
      <c r="H11" s="175">
        <f>ROUND(SUM($F11:G11)*H$5,2)</f>
        <v>0</v>
      </c>
      <c r="I11" s="175">
        <f>ROUND(SUM($F11:H11)*I$5,2)</f>
        <v>0</v>
      </c>
      <c r="J11" s="175"/>
      <c r="K11" s="175">
        <f t="shared" si="1"/>
        <v>0</v>
      </c>
    </row>
    <row r="12" spans="1:11" ht="15" customHeight="1" x14ac:dyDescent="0.3">
      <c r="A12" s="104"/>
      <c r="B12" s="172" t="s">
        <v>10</v>
      </c>
      <c r="C12" s="173" t="s">
        <v>11</v>
      </c>
      <c r="D12" s="174">
        <v>0</v>
      </c>
      <c r="E12" s="175">
        <f>ROUND(SUM($D12:D12)*E$5,2)</f>
        <v>0</v>
      </c>
      <c r="F12" s="175">
        <f t="shared" si="0"/>
        <v>0</v>
      </c>
      <c r="G12" s="175">
        <f>ROUND(SUM($F12:F12)*G$5,2)</f>
        <v>0</v>
      </c>
      <c r="H12" s="175">
        <f>ROUND(SUM($F12:G12)*H$5,2)</f>
        <v>0</v>
      </c>
      <c r="I12" s="175">
        <f>ROUND(SUM($F12:H12)*I$5,2)</f>
        <v>0</v>
      </c>
      <c r="J12" s="175"/>
      <c r="K12" s="175">
        <f t="shared" si="1"/>
        <v>0</v>
      </c>
    </row>
    <row r="13" spans="1:11" ht="15" customHeight="1" x14ac:dyDescent="0.3">
      <c r="A13" s="104"/>
      <c r="B13" s="172" t="s">
        <v>12</v>
      </c>
      <c r="C13" s="173" t="s">
        <v>13</v>
      </c>
      <c r="D13" s="174">
        <v>0</v>
      </c>
      <c r="E13" s="175">
        <f>ROUND(SUM($D13:D13)*E$5,2)</f>
        <v>0</v>
      </c>
      <c r="F13" s="175">
        <f t="shared" si="0"/>
        <v>0</v>
      </c>
      <c r="G13" s="175">
        <f>ROUND(SUM($F13:F13)*G$5,2)</f>
        <v>0</v>
      </c>
      <c r="H13" s="175">
        <f>ROUND(SUM($F13:G13)*H$5,2)</f>
        <v>0</v>
      </c>
      <c r="I13" s="175">
        <f>ROUND(SUM($F13:H13)*I$5,2)</f>
        <v>0</v>
      </c>
      <c r="J13" s="175"/>
      <c r="K13" s="175">
        <f t="shared" si="1"/>
        <v>0</v>
      </c>
    </row>
    <row r="14" spans="1:11" ht="15" customHeight="1" x14ac:dyDescent="0.3">
      <c r="A14" s="104"/>
      <c r="B14" s="172" t="s">
        <v>14</v>
      </c>
      <c r="C14" s="173" t="s">
        <v>15</v>
      </c>
      <c r="D14" s="174">
        <v>0</v>
      </c>
      <c r="E14" s="175">
        <f>ROUND(SUM($D14:D14)*E$5,2)</f>
        <v>0</v>
      </c>
      <c r="F14" s="175">
        <f t="shared" si="0"/>
        <v>0</v>
      </c>
      <c r="G14" s="175">
        <f>ROUND(SUM($F14:F14)*G$5,2)</f>
        <v>0</v>
      </c>
      <c r="H14" s="175">
        <f>ROUND(SUM($F14:G14)*H$5,2)</f>
        <v>0</v>
      </c>
      <c r="I14" s="175">
        <f>ROUND(SUM($F14:H14)*I$5,2)</f>
        <v>0</v>
      </c>
      <c r="J14" s="175"/>
      <c r="K14" s="175">
        <f t="shared" si="1"/>
        <v>0</v>
      </c>
    </row>
    <row r="15" spans="1:11" ht="15" customHeight="1" x14ac:dyDescent="0.3">
      <c r="A15" s="104"/>
      <c r="B15" s="172" t="s">
        <v>16</v>
      </c>
      <c r="C15" s="173" t="s">
        <v>17</v>
      </c>
      <c r="D15" s="174">
        <v>0</v>
      </c>
      <c r="E15" s="175">
        <f>ROUND(SUM($D15:D15)*E$5,2)</f>
        <v>0</v>
      </c>
      <c r="F15" s="175">
        <f t="shared" si="0"/>
        <v>0</v>
      </c>
      <c r="G15" s="175">
        <f>ROUND(SUM($F15:F15)*G$5,2)</f>
        <v>0</v>
      </c>
      <c r="H15" s="175">
        <f>ROUND(SUM($F15:G15)*H$5,2)</f>
        <v>0</v>
      </c>
      <c r="I15" s="175">
        <f>ROUND(SUM($F15:H15)*I$5,2)</f>
        <v>0</v>
      </c>
      <c r="J15" s="175"/>
      <c r="K15" s="175">
        <f t="shared" si="1"/>
        <v>0</v>
      </c>
    </row>
    <row r="16" spans="1:11" ht="15" customHeight="1" x14ac:dyDescent="0.3">
      <c r="A16" s="104"/>
      <c r="B16" s="172" t="s">
        <v>18</v>
      </c>
      <c r="C16" s="173" t="s">
        <v>19</v>
      </c>
      <c r="D16" s="174">
        <v>0</v>
      </c>
      <c r="E16" s="175">
        <f>ROUND(SUM($D16:D16)*E$5,2)</f>
        <v>0</v>
      </c>
      <c r="F16" s="175">
        <f t="shared" si="0"/>
        <v>0</v>
      </c>
      <c r="G16" s="175">
        <f>ROUND(SUM($F16:F16)*G$5,2)</f>
        <v>0</v>
      </c>
      <c r="H16" s="175">
        <f>ROUND(SUM($F16:G16)*H$5,2)</f>
        <v>0</v>
      </c>
      <c r="I16" s="175">
        <f>ROUND(SUM($F16:H16)*I$5,2)</f>
        <v>0</v>
      </c>
      <c r="J16" s="175"/>
      <c r="K16" s="175">
        <f t="shared" si="1"/>
        <v>0</v>
      </c>
    </row>
    <row r="17" spans="1:16" ht="15" customHeight="1" x14ac:dyDescent="0.3">
      <c r="A17" s="104"/>
      <c r="B17" s="172" t="s">
        <v>20</v>
      </c>
      <c r="C17" s="173" t="s">
        <v>21</v>
      </c>
      <c r="D17" s="174">
        <v>0</v>
      </c>
      <c r="E17" s="175">
        <f>ROUND(SUM($D17:D17)*E$5,2)</f>
        <v>0</v>
      </c>
      <c r="F17" s="175">
        <f t="shared" si="0"/>
        <v>0</v>
      </c>
      <c r="G17" s="175">
        <f>ROUND(SUM($F17:F17)*G$5,2)</f>
        <v>0</v>
      </c>
      <c r="H17" s="175">
        <f>ROUND(SUM($F17:G17)*H$5,2)</f>
        <v>0</v>
      </c>
      <c r="I17" s="175">
        <f>ROUND(SUM($F17:H17)*I$5,2)</f>
        <v>0</v>
      </c>
      <c r="J17" s="175"/>
      <c r="K17" s="175">
        <f t="shared" si="1"/>
        <v>0</v>
      </c>
    </row>
    <row r="18" spans="1:16" ht="15" customHeight="1" x14ac:dyDescent="0.3">
      <c r="A18" s="104"/>
      <c r="B18" s="172" t="s">
        <v>22</v>
      </c>
      <c r="C18" s="173" t="s">
        <v>23</v>
      </c>
      <c r="D18" s="174">
        <v>0</v>
      </c>
      <c r="E18" s="175">
        <f>ROUND(SUM($D18:D18)*E$5,2)</f>
        <v>0</v>
      </c>
      <c r="F18" s="175">
        <f t="shared" si="0"/>
        <v>0</v>
      </c>
      <c r="G18" s="175">
        <f>ROUND(SUM($F18:F18)*G$5,2)</f>
        <v>0</v>
      </c>
      <c r="H18" s="175">
        <f>ROUND(SUM($F18:G18)*H$5,2)</f>
        <v>0</v>
      </c>
      <c r="I18" s="175">
        <f>ROUND(SUM($F18:H18)*I$5,2)</f>
        <v>0</v>
      </c>
      <c r="J18" s="175"/>
      <c r="K18" s="175">
        <f t="shared" si="1"/>
        <v>0</v>
      </c>
    </row>
    <row r="19" spans="1:16" ht="15" customHeight="1" x14ac:dyDescent="0.3">
      <c r="A19" s="104"/>
      <c r="B19" s="172" t="s">
        <v>24</v>
      </c>
      <c r="C19" s="173" t="s">
        <v>25</v>
      </c>
      <c r="D19" s="174">
        <v>0</v>
      </c>
      <c r="E19" s="175">
        <f>ROUND(SUM($D19:D19)*E$5,2)</f>
        <v>0</v>
      </c>
      <c r="F19" s="175">
        <f t="shared" si="0"/>
        <v>0</v>
      </c>
      <c r="G19" s="175">
        <f>ROUND(SUM($F19:F19)*G$5,2)</f>
        <v>0</v>
      </c>
      <c r="H19" s="175">
        <f>ROUND(SUM($F19:G19)*H$5,2)</f>
        <v>0</v>
      </c>
      <c r="I19" s="175">
        <f>ROUND(SUM($F19:H19)*I$5,2)</f>
        <v>0</v>
      </c>
      <c r="J19" s="175"/>
      <c r="K19" s="175">
        <f t="shared" si="1"/>
        <v>0</v>
      </c>
    </row>
    <row r="20" spans="1:16" ht="15" customHeight="1" x14ac:dyDescent="0.3">
      <c r="A20" s="104"/>
      <c r="B20" s="172" t="s">
        <v>26</v>
      </c>
      <c r="C20" s="173" t="s">
        <v>27</v>
      </c>
      <c r="D20" s="174">
        <v>0</v>
      </c>
      <c r="E20" s="175">
        <f>ROUND(SUM($D20:D20)*E$5,2)</f>
        <v>0</v>
      </c>
      <c r="F20" s="175">
        <f t="shared" si="0"/>
        <v>0</v>
      </c>
      <c r="G20" s="175">
        <f>ROUND(SUM($F20:F20)*G$5,2)</f>
        <v>0</v>
      </c>
      <c r="H20" s="175">
        <f>ROUND(SUM($F20:G20)*H$5,2)</f>
        <v>0</v>
      </c>
      <c r="I20" s="175">
        <f>ROUND(SUM($F20:H20)*I$5,2)</f>
        <v>0</v>
      </c>
      <c r="J20" s="175"/>
      <c r="K20" s="175">
        <f t="shared" si="1"/>
        <v>0</v>
      </c>
    </row>
    <row r="21" spans="1:16" ht="15" customHeight="1" x14ac:dyDescent="0.3">
      <c r="A21" s="104"/>
      <c r="B21" s="172" t="s">
        <v>28</v>
      </c>
      <c r="C21" s="173" t="s">
        <v>29</v>
      </c>
      <c r="D21" s="174">
        <v>0</v>
      </c>
      <c r="E21" s="175">
        <f>ROUND(SUM($D21:D21)*E$5,2)</f>
        <v>0</v>
      </c>
      <c r="F21" s="175">
        <f t="shared" si="0"/>
        <v>0</v>
      </c>
      <c r="G21" s="175">
        <f>ROUND(SUM($F21:F21)*G$5,2)</f>
        <v>0</v>
      </c>
      <c r="H21" s="175">
        <f>ROUND(SUM($F21:G21)*H$5,2)</f>
        <v>0</v>
      </c>
      <c r="I21" s="175">
        <f>ROUND(SUM($F21:H21)*I$5,2)</f>
        <v>0</v>
      </c>
      <c r="J21" s="175"/>
      <c r="K21" s="175">
        <f t="shared" si="1"/>
        <v>0</v>
      </c>
    </row>
    <row r="22" spans="1:16" ht="15" customHeight="1" x14ac:dyDescent="0.3">
      <c r="A22" s="104"/>
      <c r="B22" s="172" t="s">
        <v>30</v>
      </c>
      <c r="C22" s="173" t="s">
        <v>31</v>
      </c>
      <c r="D22" s="174">
        <v>0</v>
      </c>
      <c r="E22" s="175">
        <f>ROUND(SUM($D22:D22)*E$5,2)</f>
        <v>0</v>
      </c>
      <c r="F22" s="175">
        <f t="shared" si="0"/>
        <v>0</v>
      </c>
      <c r="G22" s="175">
        <f>ROUND(SUM($F22:F22)*G$5,2)</f>
        <v>0</v>
      </c>
      <c r="H22" s="175">
        <f>ROUND(SUM($F22:G22)*H$5,2)</f>
        <v>0</v>
      </c>
      <c r="I22" s="175">
        <f>ROUND(SUM($F22:H22)*I$5,2)</f>
        <v>0</v>
      </c>
      <c r="J22" s="175"/>
      <c r="K22" s="175">
        <f t="shared" si="1"/>
        <v>0</v>
      </c>
    </row>
    <row r="23" spans="1:16" ht="15" customHeight="1" x14ac:dyDescent="0.3">
      <c r="A23" s="104"/>
      <c r="B23" s="172" t="s">
        <v>32</v>
      </c>
      <c r="C23" s="173" t="s">
        <v>33</v>
      </c>
      <c r="D23" s="176">
        <v>0</v>
      </c>
      <c r="E23" s="175">
        <f>ROUND(SUM($D23:D23)*E$5,2)</f>
        <v>0</v>
      </c>
      <c r="F23" s="175">
        <f t="shared" si="0"/>
        <v>0</v>
      </c>
      <c r="G23" s="175">
        <f>ROUND(SUM($F23:F23)*G$5,2)</f>
        <v>0</v>
      </c>
      <c r="H23" s="175">
        <f>ROUND(SUM($F23:G23)*H$5,2)</f>
        <v>0</v>
      </c>
      <c r="I23" s="175">
        <f>ROUND(SUM($F23:H23)*I$5,2)</f>
        <v>0</v>
      </c>
      <c r="J23" s="175"/>
      <c r="K23" s="175">
        <f t="shared" si="1"/>
        <v>0</v>
      </c>
    </row>
    <row r="24" spans="1:16" ht="15" customHeight="1" x14ac:dyDescent="0.3">
      <c r="A24" s="104"/>
      <c r="B24" s="172"/>
      <c r="C24" s="173" t="s">
        <v>50</v>
      </c>
      <c r="D24" s="177"/>
      <c r="E24" s="175">
        <f>ROUND(SUM($D24:D24)*E$5,2)</f>
        <v>0</v>
      </c>
      <c r="F24" s="175">
        <f t="shared" si="0"/>
        <v>0</v>
      </c>
      <c r="G24" s="175">
        <f>ROUND(SUM($F24:F24)*G$5,2)</f>
        <v>0</v>
      </c>
      <c r="H24" s="175">
        <f>ROUND(SUM($F24:G24)*H$5,2)</f>
        <v>0</v>
      </c>
      <c r="I24" s="175">
        <f>ROUND(SUM($F24:H24)*I$5,2)</f>
        <v>0</v>
      </c>
      <c r="J24" s="175">
        <v>0</v>
      </c>
      <c r="K24" s="175">
        <f t="shared" si="1"/>
        <v>0</v>
      </c>
    </row>
    <row r="25" spans="1:16" ht="15" customHeight="1" x14ac:dyDescent="0.3">
      <c r="A25" s="104"/>
      <c r="B25" s="104"/>
      <c r="C25" s="171"/>
      <c r="D25" s="175">
        <f>SUBTOTAL(9,D7:D24)</f>
        <v>82987.777499999997</v>
      </c>
      <c r="E25" s="175">
        <f t="shared" ref="E25" si="2">SUBTOTAL(9,E7:E24)</f>
        <v>3319.51</v>
      </c>
      <c r="F25" s="175">
        <f t="shared" ref="F25" si="3">SUBTOTAL(9,F7:F24)</f>
        <v>86307.287500000006</v>
      </c>
      <c r="G25" s="175">
        <f t="shared" ref="G25" si="4">SUBTOTAL(9,G7:G24)</f>
        <v>4315.3599999999997</v>
      </c>
      <c r="H25" s="175">
        <f t="shared" ref="H25" si="5">SUBTOTAL(9,H7:H24)</f>
        <v>9062.26</v>
      </c>
      <c r="I25" s="175">
        <f t="shared" ref="I25" si="6">SUBTOTAL(9,I7:I24)</f>
        <v>2741.34</v>
      </c>
      <c r="J25" s="175">
        <f t="shared" ref="J25" si="7">SUBTOTAL(9,J7:J24)</f>
        <v>0</v>
      </c>
      <c r="K25" s="175">
        <f t="shared" ref="K25" si="8">SUBTOTAL(9,K7:K24)</f>
        <v>102426.2475</v>
      </c>
    </row>
    <row r="26" spans="1:16" ht="15" customHeight="1" x14ac:dyDescent="0.3">
      <c r="D26" s="2"/>
      <c r="E26" s="2"/>
      <c r="F26" s="2"/>
      <c r="G26" s="2"/>
      <c r="H26" s="2"/>
      <c r="I26" s="2"/>
      <c r="J26" s="2"/>
      <c r="K26" s="2"/>
      <c r="M26" s="2"/>
      <c r="N26" s="26"/>
      <c r="O26" s="27"/>
      <c r="P26" s="27"/>
    </row>
    <row r="27" spans="1:16" ht="15" customHeight="1" x14ac:dyDescent="0.3">
      <c r="A27" s="178" t="s">
        <v>35</v>
      </c>
      <c r="B27" s="104"/>
      <c r="C27" s="171"/>
      <c r="D27" s="104"/>
      <c r="E27" s="104"/>
      <c r="F27" s="104"/>
      <c r="G27" s="104"/>
      <c r="H27" s="104"/>
      <c r="I27" s="104"/>
      <c r="J27" s="104"/>
      <c r="K27" s="104"/>
    </row>
    <row r="28" spans="1:16" ht="15" customHeight="1" x14ac:dyDescent="0.3">
      <c r="A28" s="104"/>
      <c r="B28" s="172" t="s">
        <v>2</v>
      </c>
      <c r="C28" s="173" t="s">
        <v>3</v>
      </c>
      <c r="D28" s="174">
        <v>621216</v>
      </c>
      <c r="E28" s="175">
        <f>ROUND(SUM($D28:D28)*E$5,2)</f>
        <v>24848.639999999999</v>
      </c>
      <c r="F28" s="175">
        <f t="shared" ref="F28:F44" si="9">SUM(D28:E28)</f>
        <v>646064.64000000001</v>
      </c>
      <c r="G28" s="175">
        <f>ROUND(SUM($F28:F28)*G$5,2)</f>
        <v>32303.23</v>
      </c>
      <c r="H28" s="175">
        <f>ROUND(SUM($F28:G28)*H$5,2)</f>
        <v>67836.789999999994</v>
      </c>
      <c r="I28" s="175">
        <f>ROUND(SUM($F28:H28)*I$5,2)</f>
        <v>20520.63</v>
      </c>
      <c r="J28" s="175"/>
      <c r="K28" s="175">
        <f>SUM(F28:J28)</f>
        <v>766725.29</v>
      </c>
    </row>
    <row r="29" spans="1:16" ht="15" customHeight="1" x14ac:dyDescent="0.3">
      <c r="A29" s="104"/>
      <c r="B29" s="172" t="s">
        <v>4</v>
      </c>
      <c r="C29" s="173" t="s">
        <v>5</v>
      </c>
      <c r="D29" s="174">
        <f>+'HPC Div est'!H23+'HPC Div est'!H25+'HPC Div est'!H26+'HPC Div est'!H27+'HPC Div est'!H28+'HPC Div est'!H29+'HPC Div est'!H30</f>
        <v>149131.25</v>
      </c>
      <c r="E29" s="175">
        <f>ROUND(SUM($D29:D29)*E$5,2)</f>
        <v>5965.25</v>
      </c>
      <c r="F29" s="175">
        <f t="shared" si="9"/>
        <v>155096.5</v>
      </c>
      <c r="G29" s="175">
        <f>ROUND(SUM($F29:F29)*G$5,2)</f>
        <v>7754.83</v>
      </c>
      <c r="H29" s="175">
        <f>ROUND(SUM($F29:G29)*H$5,2)</f>
        <v>16285.13</v>
      </c>
      <c r="I29" s="175">
        <f>ROUND(SUM($F29:H29)*I$5,2)</f>
        <v>4926.25</v>
      </c>
      <c r="J29" s="175"/>
      <c r="K29" s="175">
        <f t="shared" ref="K29:K44" si="10">SUM(F29:J29)</f>
        <v>184062.71</v>
      </c>
    </row>
    <row r="30" spans="1:16" ht="15" customHeight="1" x14ac:dyDescent="0.3">
      <c r="A30" s="104"/>
      <c r="B30" s="172" t="s">
        <v>6</v>
      </c>
      <c r="C30" s="173" t="s">
        <v>7</v>
      </c>
      <c r="D30" s="174">
        <f>+'HPC Div est'!H32+'HPC Div est'!H33+'HPC Div est'!H34+'HPC Div est'!H35</f>
        <v>432062.5</v>
      </c>
      <c r="E30" s="175">
        <f>ROUND(SUM($D30:D30)*E$5,2)</f>
        <v>17282.5</v>
      </c>
      <c r="F30" s="175">
        <f t="shared" si="9"/>
        <v>449345</v>
      </c>
      <c r="G30" s="175">
        <f>ROUND(SUM($F30:F30)*G$5,2)</f>
        <v>22467.25</v>
      </c>
      <c r="H30" s="175">
        <f>ROUND(SUM($F30:G30)*H$5,2)</f>
        <v>47181.23</v>
      </c>
      <c r="I30" s="175">
        <f>ROUND(SUM($F30:H30)*I$5,2)</f>
        <v>14272.32</v>
      </c>
      <c r="J30" s="175"/>
      <c r="K30" s="175">
        <f t="shared" si="10"/>
        <v>533265.79999999993</v>
      </c>
    </row>
    <row r="31" spans="1:16" ht="15" customHeight="1" x14ac:dyDescent="0.3">
      <c r="A31" s="104"/>
      <c r="B31" s="172" t="s">
        <v>8</v>
      </c>
      <c r="C31" s="173" t="s">
        <v>9</v>
      </c>
      <c r="D31" s="174">
        <f>+'HPC Div est'!H37+'HPC Div est'!H38</f>
        <v>418961.25</v>
      </c>
      <c r="E31" s="175">
        <f>ROUND(SUM($D31:D31)*E$5,2)</f>
        <v>16758.45</v>
      </c>
      <c r="F31" s="175">
        <f t="shared" si="9"/>
        <v>435719.7</v>
      </c>
      <c r="G31" s="175">
        <f>ROUND(SUM($F31:F31)*G$5,2)</f>
        <v>21785.99</v>
      </c>
      <c r="H31" s="175">
        <f>ROUND(SUM($F31:G31)*H$5,2)</f>
        <v>45750.57</v>
      </c>
      <c r="I31" s="175">
        <f>ROUND(SUM($F31:H31)*I$5,2)</f>
        <v>13839.55</v>
      </c>
      <c r="J31" s="175"/>
      <c r="K31" s="175">
        <f t="shared" si="10"/>
        <v>517095.81</v>
      </c>
    </row>
    <row r="32" spans="1:16" ht="15" customHeight="1" x14ac:dyDescent="0.3">
      <c r="A32" s="104"/>
      <c r="B32" s="172" t="s">
        <v>10</v>
      </c>
      <c r="C32" s="173" t="s">
        <v>11</v>
      </c>
      <c r="D32" s="174">
        <f>+'HPC Div est'!H40+'HPC Div est'!H41+'HPC Div est'!H42+'HPC Div est'!H43+'HPC Div est'!H44</f>
        <v>675968.75</v>
      </c>
      <c r="E32" s="175">
        <f>ROUND(SUM($D32:D32)*E$5,2)</f>
        <v>27038.75</v>
      </c>
      <c r="F32" s="175">
        <f t="shared" si="9"/>
        <v>703007.5</v>
      </c>
      <c r="G32" s="175">
        <f>ROUND(SUM($F32:F32)*G$5,2)</f>
        <v>35150.379999999997</v>
      </c>
      <c r="H32" s="175">
        <f>ROUND(SUM($F32:G32)*H$5,2)</f>
        <v>73815.789999999994</v>
      </c>
      <c r="I32" s="175">
        <f>ROUND(SUM($F32:H32)*I$5,2)</f>
        <v>22329.279999999999</v>
      </c>
      <c r="J32" s="175"/>
      <c r="K32" s="175">
        <f t="shared" si="10"/>
        <v>834302.95000000007</v>
      </c>
    </row>
    <row r="33" spans="1:11" ht="15" customHeight="1" x14ac:dyDescent="0.3">
      <c r="A33" s="104"/>
      <c r="B33" s="172" t="s">
        <v>12</v>
      </c>
      <c r="C33" s="173" t="s">
        <v>13</v>
      </c>
      <c r="D33" s="174">
        <f>+'HPC Div est'!H46+'HPC Div est'!H47</f>
        <v>181187.5</v>
      </c>
      <c r="E33" s="175">
        <f>ROUND(SUM($D33:D33)*E$5,2)</f>
        <v>7247.5</v>
      </c>
      <c r="F33" s="175">
        <f t="shared" si="9"/>
        <v>188435</v>
      </c>
      <c r="G33" s="175">
        <f>ROUND(SUM($F33:F33)*G$5,2)</f>
        <v>9421.75</v>
      </c>
      <c r="H33" s="175">
        <f>ROUND(SUM($F33:G33)*H$5,2)</f>
        <v>19785.68</v>
      </c>
      <c r="I33" s="175">
        <f>ROUND(SUM($F33:H33)*I$5,2)</f>
        <v>5985.17</v>
      </c>
      <c r="J33" s="175"/>
      <c r="K33" s="175">
        <f t="shared" si="10"/>
        <v>223627.6</v>
      </c>
    </row>
    <row r="34" spans="1:11" ht="15" customHeight="1" x14ac:dyDescent="0.3">
      <c r="A34" s="104"/>
      <c r="B34" s="172" t="s">
        <v>14</v>
      </c>
      <c r="C34" s="173" t="s">
        <v>15</v>
      </c>
      <c r="D34" s="174">
        <f>+'HPC Div est'!H49+'HPC Div est'!H50+'HPC Div est'!H51+'HPC Div est'!H52+'HPC Div est'!H53+'HPC Div est'!H54+'HPC Div est'!H55+'HPC Div est'!H56+'HPC Div est'!H57+'HPC Div est'!H58</f>
        <v>731440</v>
      </c>
      <c r="E34" s="175">
        <f>ROUND(SUM($D34:D34)*E$5,2)</f>
        <v>29257.599999999999</v>
      </c>
      <c r="F34" s="175">
        <f t="shared" si="9"/>
        <v>760697.6</v>
      </c>
      <c r="G34" s="175">
        <f>ROUND(SUM($F34:F34)*G$5,2)</f>
        <v>38034.879999999997</v>
      </c>
      <c r="H34" s="175">
        <f>ROUND(SUM($F34:G34)*H$5,2)</f>
        <v>79873.25</v>
      </c>
      <c r="I34" s="175">
        <f>ROUND(SUM($F34:H34)*I$5,2)</f>
        <v>24161.66</v>
      </c>
      <c r="J34" s="175"/>
      <c r="K34" s="175">
        <f t="shared" si="10"/>
        <v>902767.39</v>
      </c>
    </row>
    <row r="35" spans="1:11" ht="15" customHeight="1" x14ac:dyDescent="0.3">
      <c r="A35" s="104"/>
      <c r="B35" s="172" t="s">
        <v>16</v>
      </c>
      <c r="C35" s="173" t="s">
        <v>17</v>
      </c>
      <c r="D35" s="174">
        <f>+'HPC Div est'!H60+'HPC Div est'!H61+'HPC Div est'!H62+'HPC Div est'!H63+'HPC Div est'!H64+'HPC Div est'!H65</f>
        <v>502865</v>
      </c>
      <c r="E35" s="175">
        <f>ROUND(SUM($D35:D35)*E$5,2)</f>
        <v>20114.599999999999</v>
      </c>
      <c r="F35" s="175">
        <f t="shared" si="9"/>
        <v>522979.6</v>
      </c>
      <c r="G35" s="175">
        <f>ROUND(SUM($F35:F35)*G$5,2)</f>
        <v>26148.98</v>
      </c>
      <c r="H35" s="175">
        <f>ROUND(SUM($F35:G35)*H$5,2)</f>
        <v>54912.86</v>
      </c>
      <c r="I35" s="175">
        <f>ROUND(SUM($F35:H35)*I$5,2)</f>
        <v>16611.14</v>
      </c>
      <c r="J35" s="175"/>
      <c r="K35" s="175">
        <f t="shared" si="10"/>
        <v>620652.57999999996</v>
      </c>
    </row>
    <row r="36" spans="1:11" ht="15" customHeight="1" x14ac:dyDescent="0.3">
      <c r="A36" s="104"/>
      <c r="B36" s="172" t="s">
        <v>18</v>
      </c>
      <c r="C36" s="173" t="s">
        <v>19</v>
      </c>
      <c r="D36" s="174">
        <f>+'HPC Div est'!H67+'HPC Div est'!H68+'HPC Div est'!H69+'HPC Div est'!H70+'HPC Div est'!H71+'HPC Div est'!H72+'HPC Div est'!H73+'HPC Div est'!H74</f>
        <v>1153746.25</v>
      </c>
      <c r="E36" s="175">
        <f>ROUND(SUM($D36:D36)*E$5,2)</f>
        <v>46149.85</v>
      </c>
      <c r="F36" s="175">
        <f t="shared" si="9"/>
        <v>1199896.1000000001</v>
      </c>
      <c r="G36" s="175">
        <f>ROUND(SUM($F36:F36)*G$5,2)</f>
        <v>59994.81</v>
      </c>
      <c r="H36" s="175">
        <f>ROUND(SUM($F36:G36)*H$5,2)</f>
        <v>125989.09</v>
      </c>
      <c r="I36" s="175">
        <f>ROUND(SUM($F36:H36)*I$5,2)</f>
        <v>38111.699999999997</v>
      </c>
      <c r="J36" s="175"/>
      <c r="K36" s="175">
        <f t="shared" si="10"/>
        <v>1423991.7000000002</v>
      </c>
    </row>
    <row r="37" spans="1:11" ht="15" customHeight="1" x14ac:dyDescent="0.3">
      <c r="A37" s="104"/>
      <c r="B37" s="172" t="s">
        <v>20</v>
      </c>
      <c r="C37" s="173" t="s">
        <v>21</v>
      </c>
      <c r="D37" s="174">
        <f>+'HPC Div est'!H76+'HPC Div est'!H77+'HPC Div est'!H78</f>
        <v>97562.5</v>
      </c>
      <c r="E37" s="175">
        <f>ROUND(SUM($D37:D37)*E$5,2)</f>
        <v>3902.5</v>
      </c>
      <c r="F37" s="175">
        <f t="shared" si="9"/>
        <v>101465</v>
      </c>
      <c r="G37" s="175">
        <f>ROUND(SUM($F37:F37)*G$5,2)</f>
        <v>5073.25</v>
      </c>
      <c r="H37" s="175">
        <f>ROUND(SUM($F37:G37)*H$5,2)</f>
        <v>10653.83</v>
      </c>
      <c r="I37" s="175">
        <f>ROUND(SUM($F37:H37)*I$5,2)</f>
        <v>3222.78</v>
      </c>
      <c r="J37" s="175"/>
      <c r="K37" s="175">
        <f t="shared" si="10"/>
        <v>120414.86</v>
      </c>
    </row>
    <row r="38" spans="1:11" ht="15" customHeight="1" x14ac:dyDescent="0.3">
      <c r="A38" s="104"/>
      <c r="B38" s="172" t="s">
        <v>22</v>
      </c>
      <c r="C38" s="173" t="s">
        <v>23</v>
      </c>
      <c r="D38" s="174">
        <f>+'HPC Div est'!H83+'HPC Div est'!H84+'HPC Div est'!H85+'HPC Div est'!H86</f>
        <v>432062.5</v>
      </c>
      <c r="E38" s="175">
        <f>ROUND(SUM($D38:D38)*E$5,2)</f>
        <v>17282.5</v>
      </c>
      <c r="F38" s="175">
        <f t="shared" si="9"/>
        <v>449345</v>
      </c>
      <c r="G38" s="175">
        <f>ROUND(SUM($F38:F38)*G$5,2)</f>
        <v>22467.25</v>
      </c>
      <c r="H38" s="175">
        <f>ROUND(SUM($F38:G38)*H$5,2)</f>
        <v>47181.23</v>
      </c>
      <c r="I38" s="175">
        <f>ROUND(SUM($F38:H38)*I$5,2)</f>
        <v>14272.32</v>
      </c>
      <c r="J38" s="175"/>
      <c r="K38" s="175">
        <f t="shared" si="10"/>
        <v>533265.79999999993</v>
      </c>
    </row>
    <row r="39" spans="1:11" ht="15" customHeight="1" x14ac:dyDescent="0.3">
      <c r="A39" s="104"/>
      <c r="B39" s="172" t="s">
        <v>24</v>
      </c>
      <c r="C39" s="173" t="s">
        <v>25</v>
      </c>
      <c r="D39" s="174">
        <f>+'HPC Div est'!H88+'HPC Div est'!H89+'HPC Div est'!H90+'HPC Div est'!H91+'HPC Div est'!H92</f>
        <v>181187.5</v>
      </c>
      <c r="E39" s="175">
        <f>ROUND(SUM($D39:D39)*E$5,2)</f>
        <v>7247.5</v>
      </c>
      <c r="F39" s="175">
        <f t="shared" si="9"/>
        <v>188435</v>
      </c>
      <c r="G39" s="175">
        <f>ROUND(SUM($F39:F39)*G$5,2)</f>
        <v>9421.75</v>
      </c>
      <c r="H39" s="175">
        <f>ROUND(SUM($F39:G39)*H$5,2)</f>
        <v>19785.68</v>
      </c>
      <c r="I39" s="175">
        <f>ROUND(SUM($F39:H39)*I$5,2)</f>
        <v>5985.17</v>
      </c>
      <c r="J39" s="175"/>
      <c r="K39" s="175">
        <f t="shared" si="10"/>
        <v>223627.6</v>
      </c>
    </row>
    <row r="40" spans="1:11" ht="15" customHeight="1" x14ac:dyDescent="0.3">
      <c r="A40" s="104"/>
      <c r="B40" s="172" t="s">
        <v>26</v>
      </c>
      <c r="C40" s="173" t="s">
        <v>27</v>
      </c>
      <c r="D40" s="174">
        <f>+'HPC Div est'!H94+'HPC Div est'!H95+'HPC Div est'!H96+'HPC Div est'!H101+'HPC Div est'!H102</f>
        <v>971443.75</v>
      </c>
      <c r="E40" s="175">
        <f>ROUND(SUM($D40:D40)*E$5,2)</f>
        <v>38857.75</v>
      </c>
      <c r="F40" s="175">
        <f t="shared" si="9"/>
        <v>1010301.5</v>
      </c>
      <c r="G40" s="175">
        <f>ROUND(SUM($F40:F40)*G$5,2)</f>
        <v>50515.08</v>
      </c>
      <c r="H40" s="175">
        <f>ROUND(SUM($F40:G40)*H$5,2)</f>
        <v>106081.66</v>
      </c>
      <c r="I40" s="175">
        <f>ROUND(SUM($F40:H40)*I$5,2)</f>
        <v>32089.7</v>
      </c>
      <c r="J40" s="175"/>
      <c r="K40" s="175">
        <f t="shared" si="10"/>
        <v>1198987.94</v>
      </c>
    </row>
    <row r="41" spans="1:11" ht="15" customHeight="1" x14ac:dyDescent="0.3">
      <c r="A41" s="104"/>
      <c r="B41" s="172" t="s">
        <v>28</v>
      </c>
      <c r="C41" s="173" t="s">
        <v>29</v>
      </c>
      <c r="D41" s="174">
        <f>+'HPC Div est'!H104+'HPC Div est'!H105+'HPC Div est'!H111+'HPC Div est'!H112+'HPC Div est'!H113</f>
        <v>2094527.5</v>
      </c>
      <c r="E41" s="175">
        <f>ROUND(SUM($D41:D41)*E$5,2)</f>
        <v>83781.100000000006</v>
      </c>
      <c r="F41" s="175">
        <f t="shared" si="9"/>
        <v>2178308.6</v>
      </c>
      <c r="G41" s="175">
        <f>ROUND(SUM($F41:F41)*G$5,2)</f>
        <v>108915.43</v>
      </c>
      <c r="H41" s="175">
        <f>ROUND(SUM($F41:G41)*H$5,2)</f>
        <v>228722.4</v>
      </c>
      <c r="I41" s="175">
        <f>ROUND(SUM($F41:H41)*I$5,2)</f>
        <v>69188.53</v>
      </c>
      <c r="J41" s="175"/>
      <c r="K41" s="175">
        <f t="shared" si="10"/>
        <v>2585134.96</v>
      </c>
    </row>
    <row r="42" spans="1:11" ht="15" customHeight="1" x14ac:dyDescent="0.3">
      <c r="A42" s="104"/>
      <c r="B42" s="172" t="s">
        <v>30</v>
      </c>
      <c r="C42" s="173" t="s">
        <v>31</v>
      </c>
      <c r="D42" s="174">
        <f>+'HPC Div est'!H115+'HPC Div est'!H116+'HPC Div est'!H117+'HPC Div est'!H118+'HPC Div est'!H119+'HPC Div est'!H120+'HPC Div est'!H121+'HPC Div est'!H122+'HPC Div est'!H123+'HPC Div est'!H124</f>
        <v>1183851.25</v>
      </c>
      <c r="E42" s="175">
        <f>ROUND(SUM($D42:D42)*E$5,2)</f>
        <v>47354.05</v>
      </c>
      <c r="F42" s="175">
        <f t="shared" si="9"/>
        <v>1231205.3</v>
      </c>
      <c r="G42" s="175">
        <f>ROUND(SUM($F42:F42)*G$5,2)</f>
        <v>61560.27</v>
      </c>
      <c r="H42" s="175">
        <f>ROUND(SUM($F42:G42)*H$5,2)</f>
        <v>129276.56</v>
      </c>
      <c r="I42" s="175">
        <f>ROUND(SUM($F42:H42)*I$5,2)</f>
        <v>39106.160000000003</v>
      </c>
      <c r="J42" s="175"/>
      <c r="K42" s="175">
        <f t="shared" si="10"/>
        <v>1461148.29</v>
      </c>
    </row>
    <row r="43" spans="1:11" ht="15" customHeight="1" x14ac:dyDescent="0.3">
      <c r="A43" s="104"/>
      <c r="B43" s="172" t="s">
        <v>32</v>
      </c>
      <c r="C43" s="173" t="s">
        <v>33</v>
      </c>
      <c r="D43" s="174">
        <f>+'HPC Div est'!H126+'HPC Div est'!H127+'HPC Div est'!H128+'HPC Div est'!H129+'HPC Div est'!H130</f>
        <v>550531.25</v>
      </c>
      <c r="E43" s="175">
        <f>ROUND(SUM($D43:D43)*E$5,2)</f>
        <v>22021.25</v>
      </c>
      <c r="F43" s="175">
        <f t="shared" si="9"/>
        <v>572552.5</v>
      </c>
      <c r="G43" s="175">
        <f>ROUND(SUM($F43:F43)*G$5,2)</f>
        <v>28627.63</v>
      </c>
      <c r="H43" s="175">
        <f>ROUND(SUM($F43:G43)*H$5,2)</f>
        <v>60118.01</v>
      </c>
      <c r="I43" s="175">
        <f>ROUND(SUM($F43:H43)*I$5,2)</f>
        <v>18185.7</v>
      </c>
      <c r="J43" s="175"/>
      <c r="K43" s="175">
        <f t="shared" si="10"/>
        <v>679483.84</v>
      </c>
    </row>
    <row r="44" spans="1:11" ht="15" customHeight="1" x14ac:dyDescent="0.3">
      <c r="A44" s="104"/>
      <c r="B44" s="172"/>
      <c r="C44" s="173" t="s">
        <v>50</v>
      </c>
      <c r="D44" s="177" t="s">
        <v>61</v>
      </c>
      <c r="E44" s="175">
        <f>ROUND(SUM($D44:D44)*E$5,2)</f>
        <v>0</v>
      </c>
      <c r="F44" s="175">
        <f t="shared" si="9"/>
        <v>0</v>
      </c>
      <c r="G44" s="175">
        <f>ROUND(SUM($F44:F44)*G$5,2)</f>
        <v>0</v>
      </c>
      <c r="H44" s="175">
        <f>ROUND(SUM($F44:G44)*H$5,2)</f>
        <v>0</v>
      </c>
      <c r="I44" s="175">
        <f>ROUND(SUM($F44:H44)*I$5,2)</f>
        <v>0</v>
      </c>
      <c r="J44" s="175">
        <v>506165</v>
      </c>
      <c r="K44" s="175">
        <f t="shared" si="10"/>
        <v>506165</v>
      </c>
    </row>
    <row r="45" spans="1:11" ht="15" customHeight="1" x14ac:dyDescent="0.3">
      <c r="A45" s="104"/>
      <c r="B45" s="104"/>
      <c r="C45" s="171"/>
      <c r="D45" s="175">
        <f>SUBTOTAL(9,D27:D44)</f>
        <v>10377744.75</v>
      </c>
      <c r="E45" s="175">
        <f t="shared" ref="E45:K45" si="11">SUBTOTAL(9,E27:E44)</f>
        <v>415109.79</v>
      </c>
      <c r="F45" s="175">
        <f t="shared" si="11"/>
        <v>10792854.540000001</v>
      </c>
      <c r="G45" s="175">
        <f t="shared" si="11"/>
        <v>539642.76</v>
      </c>
      <c r="H45" s="175">
        <f t="shared" si="11"/>
        <v>1133249.76</v>
      </c>
      <c r="I45" s="175">
        <f t="shared" si="11"/>
        <v>342808.06000000011</v>
      </c>
      <c r="J45" s="175">
        <f t="shared" si="11"/>
        <v>506165</v>
      </c>
      <c r="K45" s="175">
        <f t="shared" si="11"/>
        <v>13314720.119999997</v>
      </c>
    </row>
    <row r="46" spans="1:11" ht="15" customHeight="1" x14ac:dyDescent="0.3">
      <c r="D46" s="3"/>
      <c r="E46" s="3"/>
      <c r="F46" s="3"/>
      <c r="G46" s="3"/>
      <c r="H46" s="3"/>
      <c r="I46" s="3"/>
      <c r="J46" s="3"/>
      <c r="K46" s="3"/>
    </row>
    <row r="47" spans="1:11" ht="15" customHeight="1" x14ac:dyDescent="0.3">
      <c r="A47" s="170" t="s">
        <v>36</v>
      </c>
      <c r="B47" s="104"/>
      <c r="C47" s="171"/>
      <c r="D47" s="175"/>
      <c r="E47" s="104"/>
      <c r="F47" s="104"/>
      <c r="G47" s="104"/>
      <c r="H47" s="104"/>
      <c r="I47" s="104"/>
      <c r="J47" s="104"/>
      <c r="K47" s="175"/>
    </row>
    <row r="48" spans="1:11" ht="15" customHeight="1" x14ac:dyDescent="0.3">
      <c r="A48" s="104"/>
      <c r="B48" s="172" t="s">
        <v>2</v>
      </c>
      <c r="C48" s="173" t="s">
        <v>3</v>
      </c>
      <c r="D48" s="179">
        <f>+'HPC Div est'!N21</f>
        <v>192677.15</v>
      </c>
      <c r="E48" s="175">
        <f>ROUND(SUM($D48:D48)*E$5,2)</f>
        <v>7707.09</v>
      </c>
      <c r="F48" s="175">
        <f t="shared" ref="F48:F63" si="12">SUM(D48:E48)</f>
        <v>200384.24</v>
      </c>
      <c r="G48" s="175">
        <f>ROUND(SUM($F48:F48)*G$5,2)</f>
        <v>10019.209999999999</v>
      </c>
      <c r="H48" s="175">
        <f>ROUND(SUM($F48:G48)*H$5,2)</f>
        <v>21040.35</v>
      </c>
      <c r="I48" s="175">
        <f>ROUND(SUM($F48:H48)*I$5,2)</f>
        <v>6364.7</v>
      </c>
      <c r="J48" s="175"/>
      <c r="K48" s="175">
        <f>SUM(F48:J48)</f>
        <v>237808.5</v>
      </c>
    </row>
    <row r="49" spans="1:11" ht="15" customHeight="1" x14ac:dyDescent="0.3">
      <c r="A49" s="104"/>
      <c r="B49" s="172" t="s">
        <v>4</v>
      </c>
      <c r="C49" s="173" t="s">
        <v>5</v>
      </c>
      <c r="D49" s="179">
        <f>+'HPC Div est'!M23+'HPC Div est'!M24+'HPC Div est'!M25+'HPC Div est'!M26+'HPC Div est'!M27+'HPC Div est'!M28+'HPC Div est'!M29+'HPC Div est'!M30</f>
        <v>102927.35</v>
      </c>
      <c r="E49" s="175">
        <f>ROUND(SUM($D49:D49)*E$5,2)</f>
        <v>4117.09</v>
      </c>
      <c r="F49" s="175">
        <f t="shared" si="12"/>
        <v>107044.44</v>
      </c>
      <c r="G49" s="175">
        <f>ROUND(SUM($F49:F49)*G$5,2)</f>
        <v>5352.22</v>
      </c>
      <c r="H49" s="175">
        <f>ROUND(SUM($F49:G49)*H$5,2)</f>
        <v>11239.67</v>
      </c>
      <c r="I49" s="175">
        <f>ROUND(SUM($F49:H49)*I$5,2)</f>
        <v>3400</v>
      </c>
      <c r="J49" s="175"/>
      <c r="K49" s="175">
        <f t="shared" ref="K49:K63" si="13">SUM(F49:J49)</f>
        <v>127036.33</v>
      </c>
    </row>
    <row r="50" spans="1:11" ht="15" customHeight="1" x14ac:dyDescent="0.3">
      <c r="A50" s="104"/>
      <c r="B50" s="172" t="s">
        <v>6</v>
      </c>
      <c r="C50" s="173" t="s">
        <v>7</v>
      </c>
      <c r="D50" s="179">
        <v>0</v>
      </c>
      <c r="E50" s="175">
        <f>ROUND(SUM($D50:D50)*E$5,2)</f>
        <v>0</v>
      </c>
      <c r="F50" s="175">
        <f t="shared" si="12"/>
        <v>0</v>
      </c>
      <c r="G50" s="175">
        <f>ROUND(SUM($F50:F50)*G$5,2)</f>
        <v>0</v>
      </c>
      <c r="H50" s="175">
        <f>ROUND(SUM($F50:G50)*H$5,2)</f>
        <v>0</v>
      </c>
      <c r="I50" s="175">
        <f>ROUND(SUM($F50:H50)*I$5,2)</f>
        <v>0</v>
      </c>
      <c r="J50" s="175"/>
      <c r="K50" s="175">
        <f t="shared" si="13"/>
        <v>0</v>
      </c>
    </row>
    <row r="51" spans="1:11" ht="15" customHeight="1" x14ac:dyDescent="0.3">
      <c r="A51" s="104"/>
      <c r="B51" s="172" t="s">
        <v>8</v>
      </c>
      <c r="C51" s="173" t="s">
        <v>9</v>
      </c>
      <c r="D51" s="179">
        <f>+'HPC Div est'!M37</f>
        <v>7123</v>
      </c>
      <c r="E51" s="175">
        <f>ROUND(SUM($D51:D51)*E$5,2)</f>
        <v>284.92</v>
      </c>
      <c r="F51" s="175">
        <f t="shared" si="12"/>
        <v>7407.92</v>
      </c>
      <c r="G51" s="175">
        <f>ROUND(SUM($F51:F51)*G$5,2)</f>
        <v>370.4</v>
      </c>
      <c r="H51" s="175">
        <f>ROUND(SUM($F51:G51)*H$5,2)</f>
        <v>777.83</v>
      </c>
      <c r="I51" s="175">
        <f>ROUND(SUM($F51:H51)*I$5,2)</f>
        <v>235.29</v>
      </c>
      <c r="J51" s="175"/>
      <c r="K51" s="175">
        <f t="shared" si="13"/>
        <v>8791.44</v>
      </c>
    </row>
    <row r="52" spans="1:11" ht="15" customHeight="1" x14ac:dyDescent="0.3">
      <c r="A52" s="104"/>
      <c r="B52" s="172" t="s">
        <v>10</v>
      </c>
      <c r="C52" s="173" t="s">
        <v>11</v>
      </c>
      <c r="D52" s="179">
        <f>+'HPC Div est'!M44</f>
        <v>7123</v>
      </c>
      <c r="E52" s="175">
        <f>ROUND(SUM($D52:D52)*E$5,2)</f>
        <v>284.92</v>
      </c>
      <c r="F52" s="175">
        <f t="shared" si="12"/>
        <v>7407.92</v>
      </c>
      <c r="G52" s="175">
        <f>ROUND(SUM($F52:F52)*G$5,2)</f>
        <v>370.4</v>
      </c>
      <c r="H52" s="175">
        <f>ROUND(SUM($F52:G52)*H$5,2)</f>
        <v>777.83</v>
      </c>
      <c r="I52" s="175">
        <f>ROUND(SUM($F52:H52)*I$5,2)</f>
        <v>235.29</v>
      </c>
      <c r="J52" s="175"/>
      <c r="K52" s="175">
        <f t="shared" si="13"/>
        <v>8791.44</v>
      </c>
    </row>
    <row r="53" spans="1:11" ht="15" customHeight="1" x14ac:dyDescent="0.3">
      <c r="A53" s="104"/>
      <c r="B53" s="172" t="s">
        <v>12</v>
      </c>
      <c r="C53" s="173" t="s">
        <v>13</v>
      </c>
      <c r="D53" s="179">
        <f>+'HPC Div est'!M46+'HPC Div est'!M47</f>
        <v>97941.25</v>
      </c>
      <c r="E53" s="175">
        <f>ROUND(SUM($D53:D53)*E$5,2)</f>
        <v>3917.65</v>
      </c>
      <c r="F53" s="175">
        <f t="shared" si="12"/>
        <v>101858.9</v>
      </c>
      <c r="G53" s="175">
        <f>ROUND(SUM($F53:F53)*G$5,2)</f>
        <v>5092.95</v>
      </c>
      <c r="H53" s="175">
        <f>ROUND(SUM($F53:G53)*H$5,2)</f>
        <v>10695.19</v>
      </c>
      <c r="I53" s="175">
        <f>ROUND(SUM($F53:H53)*I$5,2)</f>
        <v>3235.29</v>
      </c>
      <c r="J53" s="175"/>
      <c r="K53" s="175">
        <f t="shared" si="13"/>
        <v>120882.32999999999</v>
      </c>
    </row>
    <row r="54" spans="1:11" ht="15" customHeight="1" x14ac:dyDescent="0.3">
      <c r="A54" s="104"/>
      <c r="B54" s="172" t="s">
        <v>14</v>
      </c>
      <c r="C54" s="173" t="s">
        <v>15</v>
      </c>
      <c r="D54" s="179">
        <f>+M49+'HPC Div est'!M50+'HPC Div est'!M51+'HPC Div est'!M52+'HPC Div est'!M53+'HPC Div est'!M54+'HPC Div est'!M55+'HPC Div est'!M56+'HPC Div est'!M57+'HPC Div est'!M58</f>
        <v>25998.95</v>
      </c>
      <c r="E54" s="175">
        <f>ROUND(SUM($D54:D54)*E$5,2)</f>
        <v>1039.96</v>
      </c>
      <c r="F54" s="175">
        <f t="shared" si="12"/>
        <v>27038.91</v>
      </c>
      <c r="G54" s="175">
        <f>ROUND(SUM($F54:F54)*G$5,2)</f>
        <v>1351.95</v>
      </c>
      <c r="H54" s="175">
        <f>ROUND(SUM($F54:G54)*H$5,2)</f>
        <v>2839.09</v>
      </c>
      <c r="I54" s="175">
        <f>ROUND(SUM($F54:H54)*I$5,2)</f>
        <v>858.82</v>
      </c>
      <c r="J54" s="175"/>
      <c r="K54" s="175">
        <f t="shared" si="13"/>
        <v>32088.77</v>
      </c>
    </row>
    <row r="55" spans="1:11" ht="15" customHeight="1" x14ac:dyDescent="0.3">
      <c r="A55" s="104"/>
      <c r="B55" s="172" t="s">
        <v>16</v>
      </c>
      <c r="C55" s="173" t="s">
        <v>17</v>
      </c>
      <c r="D55" s="179">
        <f>+'HPC Div est'!M60+'HPC Div est'!M61+'HPC Div est'!M62+'HPC Div est'!M63+'HPC Div est'!M64+'HPC Div est'!M65</f>
        <v>75859.95</v>
      </c>
      <c r="E55" s="175">
        <f>ROUND(SUM($D55:D55)*E$5,2)</f>
        <v>3034.4</v>
      </c>
      <c r="F55" s="175">
        <f t="shared" si="12"/>
        <v>78894.349999999991</v>
      </c>
      <c r="G55" s="175">
        <f>ROUND(SUM($F55:F55)*G$5,2)</f>
        <v>3944.72</v>
      </c>
      <c r="H55" s="175">
        <f>ROUND(SUM($F55:G55)*H$5,2)</f>
        <v>8283.91</v>
      </c>
      <c r="I55" s="175">
        <f>ROUND(SUM($F55:H55)*I$5,2)</f>
        <v>2505.88</v>
      </c>
      <c r="J55" s="175"/>
      <c r="K55" s="175">
        <f t="shared" si="13"/>
        <v>93628.86</v>
      </c>
    </row>
    <row r="56" spans="1:11" ht="15" customHeight="1" x14ac:dyDescent="0.3">
      <c r="A56" s="104"/>
      <c r="B56" s="172" t="s">
        <v>18</v>
      </c>
      <c r="C56" s="173" t="s">
        <v>19</v>
      </c>
      <c r="D56" s="179">
        <f>+'HPC Div est'!M67+'HPC Div est'!M68+'HPC Div est'!M69+'HPC Div est'!M70+'HPC Div est'!M71+'HPC Div est'!M72+'HPC Div est'!M73+'HPC Div est'!M74</f>
        <v>337274.05</v>
      </c>
      <c r="E56" s="175">
        <f>ROUND(SUM($D56:D56)*E$5,2)</f>
        <v>13490.96</v>
      </c>
      <c r="F56" s="175">
        <f t="shared" si="12"/>
        <v>350765.01</v>
      </c>
      <c r="G56" s="175">
        <f>ROUND(SUM($F56:F56)*G$5,2)</f>
        <v>17538.25</v>
      </c>
      <c r="H56" s="175">
        <f>ROUND(SUM($F56:G56)*H$5,2)</f>
        <v>36830.33</v>
      </c>
      <c r="I56" s="175">
        <f>ROUND(SUM($F56:H56)*I$5,2)</f>
        <v>11141.17</v>
      </c>
      <c r="J56" s="175"/>
      <c r="K56" s="175">
        <f t="shared" si="13"/>
        <v>416274.76</v>
      </c>
    </row>
    <row r="57" spans="1:11" ht="15" customHeight="1" x14ac:dyDescent="0.3">
      <c r="A57" s="104"/>
      <c r="B57" s="172" t="s">
        <v>20</v>
      </c>
      <c r="C57" s="173" t="s">
        <v>21</v>
      </c>
      <c r="D57" s="179">
        <f>+'HPC Div est'!M76+'HPC Div est'!M77+'HPC Div est'!M78</f>
        <v>55203.25</v>
      </c>
      <c r="E57" s="175">
        <f>ROUND(SUM($D57:D57)*E$5,2)</f>
        <v>2208.13</v>
      </c>
      <c r="F57" s="175">
        <f t="shared" si="12"/>
        <v>57411.38</v>
      </c>
      <c r="G57" s="175">
        <f>ROUND(SUM($F57:F57)*G$5,2)</f>
        <v>2870.57</v>
      </c>
      <c r="H57" s="175">
        <f>ROUND(SUM($F57:G57)*H$5,2)</f>
        <v>6028.2</v>
      </c>
      <c r="I57" s="175">
        <f>ROUND(SUM($F57:H57)*I$5,2)</f>
        <v>1823.53</v>
      </c>
      <c r="J57" s="175"/>
      <c r="K57" s="175">
        <f t="shared" si="13"/>
        <v>68133.679999999993</v>
      </c>
    </row>
    <row r="58" spans="1:11" ht="15" customHeight="1" x14ac:dyDescent="0.3">
      <c r="A58" s="104"/>
      <c r="B58" s="172" t="s">
        <v>22</v>
      </c>
      <c r="C58" s="173" t="s">
        <v>23</v>
      </c>
      <c r="D58" s="179">
        <v>0</v>
      </c>
      <c r="E58" s="175">
        <f>ROUND(SUM($D58:D58)*E$5,2)</f>
        <v>0</v>
      </c>
      <c r="F58" s="175">
        <f t="shared" si="12"/>
        <v>0</v>
      </c>
      <c r="G58" s="175">
        <f>ROUND(SUM($F58:F58)*G$5,2)</f>
        <v>0</v>
      </c>
      <c r="H58" s="175">
        <f>ROUND(SUM($F58:G58)*H$5,2)</f>
        <v>0</v>
      </c>
      <c r="I58" s="175">
        <f>ROUND(SUM($F58:H58)*I$5,2)</f>
        <v>0</v>
      </c>
      <c r="J58" s="175"/>
      <c r="K58" s="175">
        <f t="shared" si="13"/>
        <v>0</v>
      </c>
    </row>
    <row r="59" spans="1:11" ht="15" customHeight="1" x14ac:dyDescent="0.3">
      <c r="A59" s="104"/>
      <c r="B59" s="172" t="s">
        <v>24</v>
      </c>
      <c r="C59" s="173" t="s">
        <v>25</v>
      </c>
      <c r="D59" s="179">
        <f>+'HPC Div est'!M88+'HPC Div est'!M89+'HPC Div est'!M90+'HPC Div est'!M91+'HPC Div est'!M92</f>
        <v>39176.5</v>
      </c>
      <c r="E59" s="175">
        <f>ROUND(SUM($D59:D59)*E$5,2)</f>
        <v>1567.06</v>
      </c>
      <c r="F59" s="175">
        <f t="shared" si="12"/>
        <v>40743.56</v>
      </c>
      <c r="G59" s="175">
        <f>ROUND(SUM($F59:F59)*G$5,2)</f>
        <v>2037.18</v>
      </c>
      <c r="H59" s="175">
        <f>ROUND(SUM($F59:G59)*H$5,2)</f>
        <v>4278.07</v>
      </c>
      <c r="I59" s="175">
        <f>ROUND(SUM($F59:H59)*I$5,2)</f>
        <v>1294.1199999999999</v>
      </c>
      <c r="J59" s="175"/>
      <c r="K59" s="175">
        <f t="shared" si="13"/>
        <v>48352.93</v>
      </c>
    </row>
    <row r="60" spans="1:11" ht="15" customHeight="1" x14ac:dyDescent="0.3">
      <c r="A60" s="104"/>
      <c r="B60" s="172" t="s">
        <v>26</v>
      </c>
      <c r="C60" s="173" t="s">
        <v>27</v>
      </c>
      <c r="D60" s="179">
        <f>+'HPC Div est'!M94+'HPC Div est'!M95+'HPC Div est'!M96+'HPC Div est'!M97+'HPC Div est'!M98+'HPC Div est'!M99+'HPC Div est'!M100+'HPC Div est'!M101+'HPC Div est'!M102</f>
        <v>156706</v>
      </c>
      <c r="E60" s="175">
        <f>ROUND(SUM($D60:D60)*E$5,2)</f>
        <v>6268.24</v>
      </c>
      <c r="F60" s="175">
        <f t="shared" si="12"/>
        <v>162974.24</v>
      </c>
      <c r="G60" s="175">
        <f>ROUND(SUM($F60:F60)*G$5,2)</f>
        <v>8148.71</v>
      </c>
      <c r="H60" s="175">
        <f>ROUND(SUM($F60:G60)*H$5,2)</f>
        <v>17112.3</v>
      </c>
      <c r="I60" s="175">
        <f>ROUND(SUM($F60:H60)*I$5,2)</f>
        <v>5176.47</v>
      </c>
      <c r="J60" s="175"/>
      <c r="K60" s="175">
        <f t="shared" si="13"/>
        <v>193411.71999999997</v>
      </c>
    </row>
    <row r="61" spans="1:11" ht="15" customHeight="1" x14ac:dyDescent="0.3">
      <c r="A61" s="104"/>
      <c r="B61" s="172" t="s">
        <v>28</v>
      </c>
      <c r="C61" s="173" t="s">
        <v>29</v>
      </c>
      <c r="D61" s="179">
        <f>+'HPC Div est'!M104+'HPC Div est'!M112+'HPC Div est'!M113</f>
        <v>488637.8</v>
      </c>
      <c r="E61" s="175">
        <f>ROUND(SUM($D61:D61)*E$5,2)</f>
        <v>19545.509999999998</v>
      </c>
      <c r="F61" s="175">
        <f t="shared" si="12"/>
        <v>508183.31</v>
      </c>
      <c r="G61" s="175">
        <f>ROUND(SUM($F61:F61)*G$5,2)</f>
        <v>25409.17</v>
      </c>
      <c r="H61" s="175">
        <f>ROUND(SUM($F61:G61)*H$5,2)</f>
        <v>53359.25</v>
      </c>
      <c r="I61" s="175">
        <f>ROUND(SUM($F61:H61)*I$5,2)</f>
        <v>16141.17</v>
      </c>
      <c r="J61" s="175"/>
      <c r="K61" s="175">
        <f t="shared" si="13"/>
        <v>603092.9</v>
      </c>
    </row>
    <row r="62" spans="1:11" ht="15" customHeight="1" x14ac:dyDescent="0.3">
      <c r="A62" s="104"/>
      <c r="B62" s="172" t="s">
        <v>30</v>
      </c>
      <c r="C62" s="173" t="s">
        <v>31</v>
      </c>
      <c r="D62" s="179">
        <f>+'HPC Div est'!M115+'HPC Div est'!M117+'HPC Div est'!M119+'HPC Div est'!M120+'HPC Div est'!M121+'HPC Div est'!M122+'HPC Div est'!M124</f>
        <v>245743.5</v>
      </c>
      <c r="E62" s="175">
        <f>ROUND(SUM($D62:D62)*E$5,2)</f>
        <v>9829.74</v>
      </c>
      <c r="F62" s="175">
        <f t="shared" si="12"/>
        <v>255573.24</v>
      </c>
      <c r="G62" s="175">
        <f>ROUND(SUM($F62:F62)*G$5,2)</f>
        <v>12778.66</v>
      </c>
      <c r="H62" s="175">
        <f>ROUND(SUM($F62:G62)*H$5,2)</f>
        <v>26835.19</v>
      </c>
      <c r="I62" s="175">
        <f>ROUND(SUM($F62:H62)*I$5,2)</f>
        <v>8117.64</v>
      </c>
      <c r="J62" s="175"/>
      <c r="K62" s="175">
        <f t="shared" si="13"/>
        <v>303304.73</v>
      </c>
    </row>
    <row r="63" spans="1:11" ht="15" customHeight="1" x14ac:dyDescent="0.3">
      <c r="A63" s="104"/>
      <c r="B63" s="172" t="s">
        <v>32</v>
      </c>
      <c r="C63" s="173" t="s">
        <v>33</v>
      </c>
      <c r="D63" s="179">
        <v>0</v>
      </c>
      <c r="E63" s="175">
        <f>ROUND(SUM($D63:D63)*E$5,2)</f>
        <v>0</v>
      </c>
      <c r="F63" s="175">
        <f t="shared" si="12"/>
        <v>0</v>
      </c>
      <c r="G63" s="175">
        <f>ROUND(SUM($F63:F63)*G$5,2)</f>
        <v>0</v>
      </c>
      <c r="H63" s="175">
        <f>ROUND(SUM($F63:G63)*H$5,2)</f>
        <v>0</v>
      </c>
      <c r="I63" s="175">
        <f>ROUND(SUM($F63:H63)*I$5,2)</f>
        <v>0</v>
      </c>
      <c r="J63" s="175"/>
      <c r="K63" s="175">
        <f t="shared" si="13"/>
        <v>0</v>
      </c>
    </row>
    <row r="64" spans="1:11" ht="15" customHeight="1" x14ac:dyDescent="0.3">
      <c r="A64" s="104"/>
      <c r="B64" s="104"/>
      <c r="C64" s="171"/>
      <c r="D64" s="175">
        <f>SUBTOTAL(9,D47:D63)</f>
        <v>1832391.75</v>
      </c>
      <c r="E64" s="175">
        <f t="shared" ref="E64" si="14">SUBTOTAL(9,E47:E63)</f>
        <v>73295.67</v>
      </c>
      <c r="F64" s="175">
        <f t="shared" ref="F64" si="15">SUBTOTAL(9,F47:F63)</f>
        <v>1905687.42</v>
      </c>
      <c r="G64" s="175">
        <f t="shared" ref="G64" si="16">SUBTOTAL(9,G47:G63)</f>
        <v>95284.390000000014</v>
      </c>
      <c r="H64" s="175">
        <f t="shared" ref="H64" si="17">SUBTOTAL(9,H47:H63)</f>
        <v>200097.21000000002</v>
      </c>
      <c r="I64" s="175">
        <f t="shared" ref="I64" si="18">SUBTOTAL(9,I47:I63)</f>
        <v>60529.369999999995</v>
      </c>
      <c r="J64" s="175">
        <f t="shared" ref="J64" si="19">SUBTOTAL(9,J47:J63)</f>
        <v>0</v>
      </c>
      <c r="K64" s="175">
        <f t="shared" ref="K64" si="20">SUBTOTAL(9,K47:K63)</f>
        <v>2261598.39</v>
      </c>
    </row>
    <row r="66" spans="1:11" ht="15" customHeight="1" x14ac:dyDescent="0.3">
      <c r="A66" s="170" t="s">
        <v>37</v>
      </c>
      <c r="B66" s="104"/>
      <c r="C66" s="171"/>
      <c r="D66" s="104"/>
      <c r="E66" s="104"/>
      <c r="F66" s="104"/>
      <c r="G66" s="104"/>
      <c r="H66" s="104"/>
      <c r="I66" s="104"/>
      <c r="J66" s="104"/>
      <c r="K66" s="104"/>
    </row>
    <row r="67" spans="1:11" ht="15" customHeight="1" x14ac:dyDescent="0.3">
      <c r="A67" s="104"/>
      <c r="B67" s="172" t="s">
        <v>2</v>
      </c>
      <c r="C67" s="173" t="s">
        <v>3</v>
      </c>
      <c r="D67" s="179">
        <f>0.1377*'HPC Div est'!I21</f>
        <v>99989.994374999995</v>
      </c>
      <c r="E67" s="175">
        <f>ROUND(SUM($D67:D67)*E$5,2)</f>
        <v>3999.6</v>
      </c>
      <c r="F67" s="175">
        <f t="shared" ref="F67:F82" si="21">SUM(D67:E67)</f>
        <v>103989.594375</v>
      </c>
      <c r="G67" s="175">
        <f>ROUND(SUM($F67:F67)*G$5,2)</f>
        <v>5199.4799999999996</v>
      </c>
      <c r="H67" s="175">
        <f>ROUND(SUM($F67:G67)*H$5,2)</f>
        <v>10918.91</v>
      </c>
      <c r="I67" s="175">
        <f>ROUND(SUM($F67:H67)*I$5,2)</f>
        <v>3302.97</v>
      </c>
      <c r="J67" s="175"/>
      <c r="K67" s="175">
        <f t="shared" ref="K67:K82" si="22">SUM(F67:J67)</f>
        <v>123410.954375</v>
      </c>
    </row>
    <row r="68" spans="1:11" ht="15" customHeight="1" x14ac:dyDescent="0.3">
      <c r="A68" s="104"/>
      <c r="B68" s="172" t="s">
        <v>4</v>
      </c>
      <c r="C68" s="173" t="s">
        <v>5</v>
      </c>
      <c r="D68" s="179"/>
      <c r="E68" s="175">
        <f>ROUND(SUM($D68:D68)*E$5,2)</f>
        <v>0</v>
      </c>
      <c r="F68" s="175">
        <f t="shared" si="21"/>
        <v>0</v>
      </c>
      <c r="G68" s="175">
        <f>ROUND(SUM($F68:F68)*G$5,2)</f>
        <v>0</v>
      </c>
      <c r="H68" s="175">
        <f>ROUND(SUM($F68:G68)*H$5,2)</f>
        <v>0</v>
      </c>
      <c r="I68" s="175">
        <f>ROUND(SUM($F68:H68)*I$5,2)</f>
        <v>0</v>
      </c>
      <c r="J68" s="175"/>
      <c r="K68" s="175">
        <f t="shared" si="22"/>
        <v>0</v>
      </c>
    </row>
    <row r="69" spans="1:11" ht="15" customHeight="1" x14ac:dyDescent="0.3">
      <c r="A69" s="104"/>
      <c r="B69" s="172" t="s">
        <v>6</v>
      </c>
      <c r="C69" s="173" t="s">
        <v>7</v>
      </c>
      <c r="D69" s="179"/>
      <c r="E69" s="175">
        <f>ROUND(SUM($D69:D69)*E$5,2)</f>
        <v>0</v>
      </c>
      <c r="F69" s="175">
        <f t="shared" si="21"/>
        <v>0</v>
      </c>
      <c r="G69" s="175">
        <f>ROUND(SUM($F69:F69)*G$5,2)</f>
        <v>0</v>
      </c>
      <c r="H69" s="175">
        <f>ROUND(SUM($F69:G69)*H$5,2)</f>
        <v>0</v>
      </c>
      <c r="I69" s="175">
        <f>ROUND(SUM($F69:H69)*I$5,2)</f>
        <v>0</v>
      </c>
      <c r="J69" s="175"/>
      <c r="K69" s="175">
        <f t="shared" si="22"/>
        <v>0</v>
      </c>
    </row>
    <row r="70" spans="1:11" ht="15" customHeight="1" x14ac:dyDescent="0.3">
      <c r="A70" s="104"/>
      <c r="B70" s="172" t="s">
        <v>8</v>
      </c>
      <c r="C70" s="173" t="s">
        <v>9</v>
      </c>
      <c r="D70" s="179"/>
      <c r="E70" s="175">
        <f>ROUND(SUM($D70:D70)*E$5,2)</f>
        <v>0</v>
      </c>
      <c r="F70" s="175">
        <f t="shared" si="21"/>
        <v>0</v>
      </c>
      <c r="G70" s="175">
        <f>ROUND(SUM($F70:F70)*G$5,2)</f>
        <v>0</v>
      </c>
      <c r="H70" s="175">
        <f>ROUND(SUM($F70:G70)*H$5,2)</f>
        <v>0</v>
      </c>
      <c r="I70" s="175">
        <f>ROUND(SUM($F70:H70)*I$5,2)</f>
        <v>0</v>
      </c>
      <c r="J70" s="175"/>
      <c r="K70" s="175">
        <f t="shared" si="22"/>
        <v>0</v>
      </c>
    </row>
    <row r="71" spans="1:11" ht="15" customHeight="1" x14ac:dyDescent="0.3">
      <c r="A71" s="104"/>
      <c r="B71" s="172" t="s">
        <v>10</v>
      </c>
      <c r="C71" s="173" t="s">
        <v>11</v>
      </c>
      <c r="D71" s="179"/>
      <c r="E71" s="175">
        <f>ROUND(SUM($D71:D71)*E$5,2)</f>
        <v>0</v>
      </c>
      <c r="F71" s="175">
        <f t="shared" si="21"/>
        <v>0</v>
      </c>
      <c r="G71" s="175">
        <f>ROUND(SUM($F71:F71)*G$5,2)</f>
        <v>0</v>
      </c>
      <c r="H71" s="175">
        <f>ROUND(SUM($F71:G71)*H$5,2)</f>
        <v>0</v>
      </c>
      <c r="I71" s="175">
        <f>ROUND(SUM($F71:H71)*I$5,2)</f>
        <v>0</v>
      </c>
      <c r="J71" s="175"/>
      <c r="K71" s="175">
        <f t="shared" si="22"/>
        <v>0</v>
      </c>
    </row>
    <row r="72" spans="1:11" ht="15" customHeight="1" x14ac:dyDescent="0.3">
      <c r="A72" s="104"/>
      <c r="B72" s="172" t="s">
        <v>12</v>
      </c>
      <c r="C72" s="173" t="s">
        <v>13</v>
      </c>
      <c r="D72" s="179"/>
      <c r="E72" s="175">
        <f>ROUND(SUM($D72:D72)*E$5,2)</f>
        <v>0</v>
      </c>
      <c r="F72" s="175">
        <f t="shared" si="21"/>
        <v>0</v>
      </c>
      <c r="G72" s="175">
        <f>ROUND(SUM($F72:F72)*G$5,2)</f>
        <v>0</v>
      </c>
      <c r="H72" s="175">
        <f>ROUND(SUM($F72:G72)*H$5,2)</f>
        <v>0</v>
      </c>
      <c r="I72" s="175">
        <f>ROUND(SUM($F72:H72)*I$5,2)</f>
        <v>0</v>
      </c>
      <c r="J72" s="175"/>
      <c r="K72" s="175">
        <f t="shared" si="22"/>
        <v>0</v>
      </c>
    </row>
    <row r="73" spans="1:11" ht="15" customHeight="1" x14ac:dyDescent="0.3">
      <c r="A73" s="104"/>
      <c r="B73" s="172" t="s">
        <v>14</v>
      </c>
      <c r="C73" s="173" t="s">
        <v>15</v>
      </c>
      <c r="D73" s="180"/>
      <c r="E73" s="175">
        <f>ROUND(SUM($D73:D73)*E$5,2)</f>
        <v>0</v>
      </c>
      <c r="F73" s="175">
        <f t="shared" si="21"/>
        <v>0</v>
      </c>
      <c r="G73" s="175">
        <f>ROUND(SUM($F73:F73)*G$5,2)</f>
        <v>0</v>
      </c>
      <c r="H73" s="175">
        <f>ROUND(SUM($F73:G73)*H$5,2)</f>
        <v>0</v>
      </c>
      <c r="I73" s="175">
        <f>ROUND(SUM($F73:H73)*I$5,2)</f>
        <v>0</v>
      </c>
      <c r="J73" s="175"/>
      <c r="K73" s="175">
        <f t="shared" si="22"/>
        <v>0</v>
      </c>
    </row>
    <row r="74" spans="1:11" ht="15" customHeight="1" x14ac:dyDescent="0.3">
      <c r="A74" s="104"/>
      <c r="B74" s="172" t="s">
        <v>16</v>
      </c>
      <c r="C74" s="173" t="s">
        <v>17</v>
      </c>
      <c r="D74" s="179"/>
      <c r="E74" s="175">
        <f>ROUND(SUM($D74:D74)*E$5,2)</f>
        <v>0</v>
      </c>
      <c r="F74" s="175">
        <f t="shared" si="21"/>
        <v>0</v>
      </c>
      <c r="G74" s="175">
        <f>ROUND(SUM($F74:F74)*G$5,2)</f>
        <v>0</v>
      </c>
      <c r="H74" s="175">
        <f>ROUND(SUM($F74:G74)*H$5,2)</f>
        <v>0</v>
      </c>
      <c r="I74" s="175">
        <f>ROUND(SUM($F74:H74)*I$5,2)</f>
        <v>0</v>
      </c>
      <c r="J74" s="175"/>
      <c r="K74" s="175">
        <f t="shared" si="22"/>
        <v>0</v>
      </c>
    </row>
    <row r="75" spans="1:11" ht="15" customHeight="1" x14ac:dyDescent="0.3">
      <c r="A75" s="104"/>
      <c r="B75" s="172" t="s">
        <v>18</v>
      </c>
      <c r="C75" s="173" t="s">
        <v>19</v>
      </c>
      <c r="D75" s="179"/>
      <c r="E75" s="175">
        <f>ROUND(SUM($D75:D75)*E$5,2)</f>
        <v>0</v>
      </c>
      <c r="F75" s="175">
        <f t="shared" si="21"/>
        <v>0</v>
      </c>
      <c r="G75" s="175">
        <f>ROUND(SUM($F75:F75)*G$5,2)</f>
        <v>0</v>
      </c>
      <c r="H75" s="175">
        <f>ROUND(SUM($F75:G75)*H$5,2)</f>
        <v>0</v>
      </c>
      <c r="I75" s="175">
        <f>ROUND(SUM($F75:H75)*I$5,2)</f>
        <v>0</v>
      </c>
      <c r="J75" s="175"/>
      <c r="K75" s="175">
        <f t="shared" si="22"/>
        <v>0</v>
      </c>
    </row>
    <row r="76" spans="1:11" ht="15" customHeight="1" x14ac:dyDescent="0.3">
      <c r="A76" s="104"/>
      <c r="B76" s="172" t="s">
        <v>20</v>
      </c>
      <c r="C76" s="173" t="s">
        <v>21</v>
      </c>
      <c r="D76" s="179"/>
      <c r="E76" s="175">
        <f>ROUND(SUM($D76:D76)*E$5,2)</f>
        <v>0</v>
      </c>
      <c r="F76" s="175">
        <f t="shared" si="21"/>
        <v>0</v>
      </c>
      <c r="G76" s="175">
        <f>ROUND(SUM($F76:F76)*G$5,2)</f>
        <v>0</v>
      </c>
      <c r="H76" s="175">
        <f>ROUND(SUM($F76:G76)*H$5,2)</f>
        <v>0</v>
      </c>
      <c r="I76" s="175">
        <f>ROUND(SUM($F76:H76)*I$5,2)</f>
        <v>0</v>
      </c>
      <c r="J76" s="175"/>
      <c r="K76" s="175">
        <f t="shared" si="22"/>
        <v>0</v>
      </c>
    </row>
    <row r="77" spans="1:11" ht="15" customHeight="1" x14ac:dyDescent="0.3">
      <c r="A77" s="104"/>
      <c r="B77" s="172" t="s">
        <v>22</v>
      </c>
      <c r="C77" s="173" t="s">
        <v>23</v>
      </c>
      <c r="D77" s="180"/>
      <c r="E77" s="175">
        <f>ROUND(SUM($D77:D77)*E$5,2)</f>
        <v>0</v>
      </c>
      <c r="F77" s="175">
        <f t="shared" si="21"/>
        <v>0</v>
      </c>
      <c r="G77" s="175">
        <f>ROUND(SUM($F77:F77)*G$5,2)</f>
        <v>0</v>
      </c>
      <c r="H77" s="175">
        <f>ROUND(SUM($F77:G77)*H$5,2)</f>
        <v>0</v>
      </c>
      <c r="I77" s="175">
        <f>ROUND(SUM($F77:H77)*I$5,2)</f>
        <v>0</v>
      </c>
      <c r="J77" s="175"/>
      <c r="K77" s="175">
        <f t="shared" si="22"/>
        <v>0</v>
      </c>
    </row>
    <row r="78" spans="1:11" ht="15" customHeight="1" x14ac:dyDescent="0.3">
      <c r="A78" s="104"/>
      <c r="B78" s="172" t="s">
        <v>24</v>
      </c>
      <c r="C78" s="173" t="s">
        <v>25</v>
      </c>
      <c r="D78" s="179"/>
      <c r="E78" s="175">
        <f>ROUND(SUM($D78:D78)*E$5,2)</f>
        <v>0</v>
      </c>
      <c r="F78" s="175">
        <f t="shared" si="21"/>
        <v>0</v>
      </c>
      <c r="G78" s="175">
        <f>ROUND(SUM($F78:F78)*G$5,2)</f>
        <v>0</v>
      </c>
      <c r="H78" s="175">
        <f>ROUND(SUM($F78:G78)*H$5,2)</f>
        <v>0</v>
      </c>
      <c r="I78" s="175">
        <f>ROUND(SUM($F78:H78)*I$5,2)</f>
        <v>0</v>
      </c>
      <c r="J78" s="175"/>
      <c r="K78" s="175">
        <f t="shared" si="22"/>
        <v>0</v>
      </c>
    </row>
    <row r="79" spans="1:11" ht="15" customHeight="1" x14ac:dyDescent="0.3">
      <c r="A79" s="104"/>
      <c r="B79" s="172" t="s">
        <v>26</v>
      </c>
      <c r="C79" s="173" t="s">
        <v>27</v>
      </c>
      <c r="D79" s="179"/>
      <c r="E79" s="175">
        <f>ROUND(SUM($D79:D79)*E$5,2)</f>
        <v>0</v>
      </c>
      <c r="F79" s="175">
        <f t="shared" si="21"/>
        <v>0</v>
      </c>
      <c r="G79" s="175">
        <f>ROUND(SUM($F79:F79)*G$5,2)</f>
        <v>0</v>
      </c>
      <c r="H79" s="175">
        <f>ROUND(SUM($F79:G79)*H$5,2)</f>
        <v>0</v>
      </c>
      <c r="I79" s="175">
        <f>ROUND(SUM($F79:H79)*I$5,2)</f>
        <v>0</v>
      </c>
      <c r="J79" s="175"/>
      <c r="K79" s="175">
        <f t="shared" si="22"/>
        <v>0</v>
      </c>
    </row>
    <row r="80" spans="1:11" ht="15" customHeight="1" x14ac:dyDescent="0.3">
      <c r="A80" s="104"/>
      <c r="B80" s="172" t="s">
        <v>28</v>
      </c>
      <c r="C80" s="173" t="s">
        <v>29</v>
      </c>
      <c r="D80" s="179">
        <f>+'HPC Div est'!H106+'HPC Div est'!H107+'HPC Div est'!H108+'HPC Div est'!H109+'HPC Div est'!H110</f>
        <v>1570756.25</v>
      </c>
      <c r="E80" s="175">
        <f>ROUND(SUM($D80:D80)*E$5,2)</f>
        <v>62830.25</v>
      </c>
      <c r="F80" s="175">
        <f t="shared" si="21"/>
        <v>1633586.5</v>
      </c>
      <c r="G80" s="175">
        <f>ROUND(SUM($F80:F80)*G$5,2)</f>
        <v>81679.33</v>
      </c>
      <c r="H80" s="175">
        <f>ROUND(SUM($F80:G80)*H$5,2)</f>
        <v>171526.58</v>
      </c>
      <c r="I80" s="175">
        <f>ROUND(SUM($F80:H80)*I$5,2)</f>
        <v>51886.79</v>
      </c>
      <c r="J80" s="175"/>
      <c r="K80" s="175">
        <f t="shared" si="22"/>
        <v>1938679.2000000002</v>
      </c>
    </row>
    <row r="81" spans="1:11" ht="15" customHeight="1" x14ac:dyDescent="0.3">
      <c r="A81" s="104"/>
      <c r="B81" s="172" t="s">
        <v>30</v>
      </c>
      <c r="C81" s="173" t="s">
        <v>31</v>
      </c>
      <c r="D81" s="179"/>
      <c r="E81" s="175">
        <f>ROUND(SUM($D81:D81)*E$5,2)</f>
        <v>0</v>
      </c>
      <c r="F81" s="175">
        <f t="shared" si="21"/>
        <v>0</v>
      </c>
      <c r="G81" s="175">
        <f>ROUND(SUM($F81:F81)*G$5,2)</f>
        <v>0</v>
      </c>
      <c r="H81" s="175">
        <f>ROUND(SUM($F81:G81)*H$5,2)</f>
        <v>0</v>
      </c>
      <c r="I81" s="175">
        <f>ROUND(SUM($F81:H81)*I$5,2)</f>
        <v>0</v>
      </c>
      <c r="J81" s="175"/>
      <c r="K81" s="175">
        <f t="shared" si="22"/>
        <v>0</v>
      </c>
    </row>
    <row r="82" spans="1:11" ht="15" customHeight="1" x14ac:dyDescent="0.3">
      <c r="A82" s="104"/>
      <c r="B82" s="172" t="s">
        <v>32</v>
      </c>
      <c r="C82" s="173" t="s">
        <v>33</v>
      </c>
      <c r="D82" s="179"/>
      <c r="E82" s="175">
        <f>ROUND(SUM($D82:D82)*E$5,2)</f>
        <v>0</v>
      </c>
      <c r="F82" s="175">
        <f t="shared" si="21"/>
        <v>0</v>
      </c>
      <c r="G82" s="175">
        <f>ROUND(SUM($F82:F82)*G$5,2)</f>
        <v>0</v>
      </c>
      <c r="H82" s="175">
        <f>ROUND(SUM($F82:G82)*H$5,2)</f>
        <v>0</v>
      </c>
      <c r="I82" s="175">
        <f>ROUND(SUM($F82:H82)*I$5,2)</f>
        <v>0</v>
      </c>
      <c r="J82" s="175"/>
      <c r="K82" s="175">
        <f t="shared" si="22"/>
        <v>0</v>
      </c>
    </row>
    <row r="83" spans="1:11" ht="15" customHeight="1" x14ac:dyDescent="0.3">
      <c r="A83" s="104"/>
      <c r="B83" s="104"/>
      <c r="C83" s="171"/>
      <c r="D83" s="175">
        <f>SUBTOTAL(9,D66:D82)</f>
        <v>1670746.244375</v>
      </c>
      <c r="E83" s="175">
        <f t="shared" ref="E83" si="23">SUBTOTAL(9,E66:E82)</f>
        <v>66829.850000000006</v>
      </c>
      <c r="F83" s="175">
        <f t="shared" ref="F83" si="24">SUBTOTAL(9,F66:F82)</f>
        <v>1737576.0943750001</v>
      </c>
      <c r="G83" s="175">
        <f t="shared" ref="G83" si="25">SUBTOTAL(9,G66:G82)</f>
        <v>86878.81</v>
      </c>
      <c r="H83" s="175">
        <f t="shared" ref="H83" si="26">SUBTOTAL(9,H66:H82)</f>
        <v>182445.49</v>
      </c>
      <c r="I83" s="175">
        <f t="shared" ref="I83" si="27">SUBTOTAL(9,I66:I82)</f>
        <v>55189.760000000002</v>
      </c>
      <c r="J83" s="175">
        <f t="shared" ref="J83" si="28">SUBTOTAL(9,J66:J82)</f>
        <v>0</v>
      </c>
      <c r="K83" s="175">
        <f t="shared" ref="K83" si="29">SUBTOTAL(9,K66:K82)</f>
        <v>2062090.1543750002</v>
      </c>
    </row>
    <row r="85" spans="1:11" ht="15" customHeight="1" x14ac:dyDescent="0.3">
      <c r="A85" s="170" t="s">
        <v>38</v>
      </c>
      <c r="B85" s="104"/>
      <c r="C85" s="171"/>
      <c r="D85" s="104"/>
      <c r="E85" s="104"/>
      <c r="F85" s="104"/>
      <c r="G85" s="104"/>
      <c r="H85" s="104"/>
      <c r="I85" s="104"/>
      <c r="J85" s="104"/>
      <c r="K85" s="104"/>
    </row>
    <row r="86" spans="1:11" ht="15" customHeight="1" x14ac:dyDescent="0.3">
      <c r="A86" s="104"/>
      <c r="B86" s="172" t="s">
        <v>2</v>
      </c>
      <c r="C86" s="173" t="s">
        <v>3</v>
      </c>
      <c r="D86" s="180"/>
      <c r="E86" s="175">
        <f>ROUND(SUM($D86:D86)*E$5,2)</f>
        <v>0</v>
      </c>
      <c r="F86" s="175">
        <f t="shared" ref="F86:F101" si="30">SUM(D86:E86)</f>
        <v>0</v>
      </c>
      <c r="G86" s="175">
        <f>ROUND(SUM($F86:F86)*G$5,2)</f>
        <v>0</v>
      </c>
      <c r="H86" s="175">
        <f>ROUND(SUM($F86:G86)*H$5,2)</f>
        <v>0</v>
      </c>
      <c r="I86" s="175">
        <f>ROUND(SUM($F86:H86)*I$5,2)</f>
        <v>0</v>
      </c>
      <c r="J86" s="175"/>
      <c r="K86" s="175">
        <f t="shared" ref="K86:K101" si="31">SUM(F86:J86)</f>
        <v>0</v>
      </c>
    </row>
    <row r="87" spans="1:11" ht="15" customHeight="1" x14ac:dyDescent="0.3">
      <c r="A87" s="104"/>
      <c r="B87" s="172" t="s">
        <v>4</v>
      </c>
      <c r="C87" s="173" t="s">
        <v>5</v>
      </c>
      <c r="D87" s="179"/>
      <c r="E87" s="175">
        <f>ROUND(SUM($D87:D87)*E$5,2)</f>
        <v>0</v>
      </c>
      <c r="F87" s="175">
        <f t="shared" si="30"/>
        <v>0</v>
      </c>
      <c r="G87" s="175">
        <f>ROUND(SUM($F87:F87)*G$5,2)</f>
        <v>0</v>
      </c>
      <c r="H87" s="175">
        <f>ROUND(SUM($F87:G87)*H$5,2)</f>
        <v>0</v>
      </c>
      <c r="I87" s="175">
        <f>ROUND(SUM($F87:H87)*I$5,2)</f>
        <v>0</v>
      </c>
      <c r="J87" s="175"/>
      <c r="K87" s="175">
        <f t="shared" si="31"/>
        <v>0</v>
      </c>
    </row>
    <row r="88" spans="1:11" ht="15" customHeight="1" x14ac:dyDescent="0.3">
      <c r="A88" s="104"/>
      <c r="B88" s="172" t="s">
        <v>6</v>
      </c>
      <c r="C88" s="173" t="s">
        <v>7</v>
      </c>
      <c r="D88" s="179"/>
      <c r="E88" s="175">
        <f>ROUND(SUM($D88:D88)*E$5,2)</f>
        <v>0</v>
      </c>
      <c r="F88" s="175">
        <f t="shared" si="30"/>
        <v>0</v>
      </c>
      <c r="G88" s="175">
        <f>ROUND(SUM($F88:F88)*G$5,2)</f>
        <v>0</v>
      </c>
      <c r="H88" s="175">
        <f>ROUND(SUM($F88:G88)*H$5,2)</f>
        <v>0</v>
      </c>
      <c r="I88" s="175">
        <f>ROUND(SUM($F88:H88)*I$5,2)</f>
        <v>0</v>
      </c>
      <c r="J88" s="175"/>
      <c r="K88" s="175">
        <f t="shared" si="31"/>
        <v>0</v>
      </c>
    </row>
    <row r="89" spans="1:11" ht="15" customHeight="1" x14ac:dyDescent="0.3">
      <c r="A89" s="104"/>
      <c r="B89" s="172" t="s">
        <v>8</v>
      </c>
      <c r="C89" s="173" t="s">
        <v>9</v>
      </c>
      <c r="D89" s="179"/>
      <c r="E89" s="175">
        <f>ROUND(SUM($D89:D89)*E$5,2)</f>
        <v>0</v>
      </c>
      <c r="F89" s="175">
        <f t="shared" si="30"/>
        <v>0</v>
      </c>
      <c r="G89" s="175">
        <f>ROUND(SUM($F89:F89)*G$5,2)</f>
        <v>0</v>
      </c>
      <c r="H89" s="175">
        <f>ROUND(SUM($F89:G89)*H$5,2)</f>
        <v>0</v>
      </c>
      <c r="I89" s="175">
        <f>ROUND(SUM($F89:H89)*I$5,2)</f>
        <v>0</v>
      </c>
      <c r="J89" s="175"/>
      <c r="K89" s="175">
        <f t="shared" si="31"/>
        <v>0</v>
      </c>
    </row>
    <row r="90" spans="1:11" ht="15" customHeight="1" x14ac:dyDescent="0.3">
      <c r="A90" s="104"/>
      <c r="B90" s="172" t="s">
        <v>10</v>
      </c>
      <c r="C90" s="173" t="s">
        <v>11</v>
      </c>
      <c r="D90" s="179"/>
      <c r="E90" s="175">
        <f>ROUND(SUM($D90:D90)*E$5,2)</f>
        <v>0</v>
      </c>
      <c r="F90" s="175">
        <f t="shared" si="30"/>
        <v>0</v>
      </c>
      <c r="G90" s="175">
        <f>ROUND(SUM($F90:F90)*G$5,2)</f>
        <v>0</v>
      </c>
      <c r="H90" s="175">
        <f>ROUND(SUM($F90:G90)*H$5,2)</f>
        <v>0</v>
      </c>
      <c r="I90" s="175">
        <f>ROUND(SUM($F90:H90)*I$5,2)</f>
        <v>0</v>
      </c>
      <c r="J90" s="175"/>
      <c r="K90" s="175">
        <f t="shared" si="31"/>
        <v>0</v>
      </c>
    </row>
    <row r="91" spans="1:11" ht="15" customHeight="1" x14ac:dyDescent="0.3">
      <c r="A91" s="104"/>
      <c r="B91" s="172" t="s">
        <v>12</v>
      </c>
      <c r="C91" s="173" t="s">
        <v>13</v>
      </c>
      <c r="D91" s="179"/>
      <c r="E91" s="175">
        <f>ROUND(SUM($D91:D91)*E$5,2)</f>
        <v>0</v>
      </c>
      <c r="F91" s="175">
        <f t="shared" si="30"/>
        <v>0</v>
      </c>
      <c r="G91" s="175">
        <f>ROUND(SUM($F91:F91)*G$5,2)</f>
        <v>0</v>
      </c>
      <c r="H91" s="175">
        <f>ROUND(SUM($F91:G91)*H$5,2)</f>
        <v>0</v>
      </c>
      <c r="I91" s="175">
        <f>ROUND(SUM($F91:H91)*I$5,2)</f>
        <v>0</v>
      </c>
      <c r="J91" s="175"/>
      <c r="K91" s="175">
        <f t="shared" si="31"/>
        <v>0</v>
      </c>
    </row>
    <row r="92" spans="1:11" ht="15" customHeight="1" x14ac:dyDescent="0.3">
      <c r="A92" s="104"/>
      <c r="B92" s="172" t="s">
        <v>14</v>
      </c>
      <c r="C92" s="173" t="s">
        <v>15</v>
      </c>
      <c r="D92" s="180"/>
      <c r="E92" s="175">
        <f>ROUND(SUM($D92:D92)*E$5,2)</f>
        <v>0</v>
      </c>
      <c r="F92" s="175">
        <f t="shared" si="30"/>
        <v>0</v>
      </c>
      <c r="G92" s="175">
        <f>ROUND(SUM($F92:F92)*G$5,2)</f>
        <v>0</v>
      </c>
      <c r="H92" s="175">
        <f>ROUND(SUM($F92:G92)*H$5,2)</f>
        <v>0</v>
      </c>
      <c r="I92" s="175">
        <f>ROUND(SUM($F92:H92)*I$5,2)</f>
        <v>0</v>
      </c>
      <c r="J92" s="175"/>
      <c r="K92" s="175">
        <f t="shared" si="31"/>
        <v>0</v>
      </c>
    </row>
    <row r="93" spans="1:11" ht="15" customHeight="1" x14ac:dyDescent="0.3">
      <c r="A93" s="104"/>
      <c r="B93" s="172" t="s">
        <v>16</v>
      </c>
      <c r="C93" s="173" t="s">
        <v>17</v>
      </c>
      <c r="D93" s="179"/>
      <c r="E93" s="175">
        <f>ROUND(SUM($D93:D93)*E$5,2)</f>
        <v>0</v>
      </c>
      <c r="F93" s="175">
        <f t="shared" si="30"/>
        <v>0</v>
      </c>
      <c r="G93" s="175">
        <f>ROUND(SUM($F93:F93)*G$5,2)</f>
        <v>0</v>
      </c>
      <c r="H93" s="175">
        <f>ROUND(SUM($F93:G93)*H$5,2)</f>
        <v>0</v>
      </c>
      <c r="I93" s="175">
        <f>ROUND(SUM($F93:H93)*I$5,2)</f>
        <v>0</v>
      </c>
      <c r="J93" s="175"/>
      <c r="K93" s="175">
        <f t="shared" si="31"/>
        <v>0</v>
      </c>
    </row>
    <row r="94" spans="1:11" ht="15" customHeight="1" x14ac:dyDescent="0.3">
      <c r="A94" s="104"/>
      <c r="B94" s="172" t="s">
        <v>18</v>
      </c>
      <c r="C94" s="173" t="s">
        <v>19</v>
      </c>
      <c r="D94" s="179"/>
      <c r="E94" s="175">
        <f>ROUND(SUM($D94:D94)*E$5,2)</f>
        <v>0</v>
      </c>
      <c r="F94" s="175">
        <f t="shared" si="30"/>
        <v>0</v>
      </c>
      <c r="G94" s="175">
        <f>ROUND(SUM($F94:F94)*G$5,2)</f>
        <v>0</v>
      </c>
      <c r="H94" s="175">
        <f>ROUND(SUM($F94:G94)*H$5,2)</f>
        <v>0</v>
      </c>
      <c r="I94" s="175">
        <f>ROUND(SUM($F94:H94)*I$5,2)</f>
        <v>0</v>
      </c>
      <c r="J94" s="175"/>
      <c r="K94" s="175">
        <f t="shared" si="31"/>
        <v>0</v>
      </c>
    </row>
    <row r="95" spans="1:11" ht="15" customHeight="1" x14ac:dyDescent="0.3">
      <c r="A95" s="104"/>
      <c r="B95" s="172" t="s">
        <v>20</v>
      </c>
      <c r="C95" s="173" t="s">
        <v>21</v>
      </c>
      <c r="D95" s="179"/>
      <c r="E95" s="175">
        <f>ROUND(SUM($D95:D95)*E$5,2)</f>
        <v>0</v>
      </c>
      <c r="F95" s="175">
        <f t="shared" si="30"/>
        <v>0</v>
      </c>
      <c r="G95" s="175">
        <f>ROUND(SUM($F95:F95)*G$5,2)</f>
        <v>0</v>
      </c>
      <c r="H95" s="175">
        <f>ROUND(SUM($F95:G95)*H$5,2)</f>
        <v>0</v>
      </c>
      <c r="I95" s="175">
        <f>ROUND(SUM($F95:H95)*I$5,2)</f>
        <v>0</v>
      </c>
      <c r="J95" s="175"/>
      <c r="K95" s="175">
        <f t="shared" si="31"/>
        <v>0</v>
      </c>
    </row>
    <row r="96" spans="1:11" ht="15" customHeight="1" x14ac:dyDescent="0.3">
      <c r="A96" s="104"/>
      <c r="B96" s="172" t="s">
        <v>22</v>
      </c>
      <c r="C96" s="173" t="s">
        <v>23</v>
      </c>
      <c r="D96" s="180"/>
      <c r="E96" s="175">
        <f>ROUND(SUM($D96:D96)*E$5,2)</f>
        <v>0</v>
      </c>
      <c r="F96" s="175">
        <f t="shared" si="30"/>
        <v>0</v>
      </c>
      <c r="G96" s="175">
        <f>ROUND(SUM($F96:F96)*G$5,2)</f>
        <v>0</v>
      </c>
      <c r="H96" s="175">
        <f>ROUND(SUM($F96:G96)*H$5,2)</f>
        <v>0</v>
      </c>
      <c r="I96" s="175">
        <f>ROUND(SUM($F96:H96)*I$5,2)</f>
        <v>0</v>
      </c>
      <c r="J96" s="175"/>
      <c r="K96" s="175">
        <f t="shared" si="31"/>
        <v>0</v>
      </c>
    </row>
    <row r="97" spans="1:11" ht="15" customHeight="1" x14ac:dyDescent="0.3">
      <c r="A97" s="104"/>
      <c r="B97" s="172" t="s">
        <v>24</v>
      </c>
      <c r="C97" s="173" t="s">
        <v>25</v>
      </c>
      <c r="D97" s="179"/>
      <c r="E97" s="175">
        <f>ROUND(SUM($D97:D97)*E$5,2)</f>
        <v>0</v>
      </c>
      <c r="F97" s="175">
        <f t="shared" si="30"/>
        <v>0</v>
      </c>
      <c r="G97" s="175">
        <f>ROUND(SUM($F97:F97)*G$5,2)</f>
        <v>0</v>
      </c>
      <c r="H97" s="175">
        <f>ROUND(SUM($F97:G97)*H$5,2)</f>
        <v>0</v>
      </c>
      <c r="I97" s="175">
        <f>ROUND(SUM($F97:H97)*I$5,2)</f>
        <v>0</v>
      </c>
      <c r="J97" s="175"/>
      <c r="K97" s="175">
        <f t="shared" si="31"/>
        <v>0</v>
      </c>
    </row>
    <row r="98" spans="1:11" ht="15" customHeight="1" x14ac:dyDescent="0.3">
      <c r="A98" s="104"/>
      <c r="B98" s="172" t="s">
        <v>26</v>
      </c>
      <c r="C98" s="173" t="s">
        <v>27</v>
      </c>
      <c r="D98" s="179"/>
      <c r="E98" s="175">
        <f>ROUND(SUM($D98:D98)*E$5,2)</f>
        <v>0</v>
      </c>
      <c r="F98" s="175">
        <f t="shared" si="30"/>
        <v>0</v>
      </c>
      <c r="G98" s="175">
        <f>ROUND(SUM($F98:F98)*G$5,2)</f>
        <v>0</v>
      </c>
      <c r="H98" s="175">
        <f>ROUND(SUM($F98:G98)*H$5,2)</f>
        <v>0</v>
      </c>
      <c r="I98" s="175">
        <f>ROUND(SUM($F98:H98)*I$5,2)</f>
        <v>0</v>
      </c>
      <c r="J98" s="175"/>
      <c r="K98" s="175">
        <f t="shared" si="31"/>
        <v>0</v>
      </c>
    </row>
    <row r="99" spans="1:11" ht="15" customHeight="1" x14ac:dyDescent="0.3">
      <c r="A99" s="104"/>
      <c r="B99" s="172" t="s">
        <v>28</v>
      </c>
      <c r="C99" s="173" t="s">
        <v>29</v>
      </c>
      <c r="D99" s="179"/>
      <c r="E99" s="175">
        <f>ROUND(SUM($D99:D99)*E$5,2)</f>
        <v>0</v>
      </c>
      <c r="F99" s="175">
        <f t="shared" si="30"/>
        <v>0</v>
      </c>
      <c r="G99" s="175">
        <f>ROUND(SUM($F99:F99)*G$5,2)</f>
        <v>0</v>
      </c>
      <c r="H99" s="175">
        <f>ROUND(SUM($F99:G99)*H$5,2)</f>
        <v>0</v>
      </c>
      <c r="I99" s="175">
        <f>ROUND(SUM($F99:H99)*I$5,2)</f>
        <v>0</v>
      </c>
      <c r="J99" s="175"/>
      <c r="K99" s="175">
        <f t="shared" si="31"/>
        <v>0</v>
      </c>
    </row>
    <row r="100" spans="1:11" ht="15" customHeight="1" x14ac:dyDescent="0.3">
      <c r="A100" s="104"/>
      <c r="B100" s="172" t="s">
        <v>30</v>
      </c>
      <c r="C100" s="173" t="s">
        <v>31</v>
      </c>
      <c r="D100" s="179"/>
      <c r="E100" s="175">
        <f>ROUND(SUM($D100:D100)*E$5,2)</f>
        <v>0</v>
      </c>
      <c r="F100" s="175">
        <f t="shared" si="30"/>
        <v>0</v>
      </c>
      <c r="G100" s="175">
        <f>ROUND(SUM($F100:F100)*G$5,2)</f>
        <v>0</v>
      </c>
      <c r="H100" s="175">
        <f>ROUND(SUM($F100:G100)*H$5,2)</f>
        <v>0</v>
      </c>
      <c r="I100" s="175">
        <f>ROUND(SUM($F100:H100)*I$5,2)</f>
        <v>0</v>
      </c>
      <c r="J100" s="175"/>
      <c r="K100" s="175">
        <f t="shared" si="31"/>
        <v>0</v>
      </c>
    </row>
    <row r="101" spans="1:11" ht="15" customHeight="1" x14ac:dyDescent="0.3">
      <c r="A101" s="104"/>
      <c r="B101" s="172" t="s">
        <v>32</v>
      </c>
      <c r="C101" s="173" t="s">
        <v>33</v>
      </c>
      <c r="D101" s="179"/>
      <c r="E101" s="175">
        <f>ROUND(SUM($D101:D101)*E$5,2)</f>
        <v>0</v>
      </c>
      <c r="F101" s="175">
        <f t="shared" si="30"/>
        <v>0</v>
      </c>
      <c r="G101" s="175">
        <f>ROUND(SUM($F101:F101)*G$5,2)</f>
        <v>0</v>
      </c>
      <c r="H101" s="175">
        <f>ROUND(SUM($F101:G101)*H$5,2)</f>
        <v>0</v>
      </c>
      <c r="I101" s="175">
        <f>ROUND(SUM($F101:H101)*I$5,2)</f>
        <v>0</v>
      </c>
      <c r="J101" s="175"/>
      <c r="K101" s="175">
        <f t="shared" si="31"/>
        <v>0</v>
      </c>
    </row>
    <row r="102" spans="1:11" ht="15" customHeight="1" x14ac:dyDescent="0.3">
      <c r="A102" s="104"/>
      <c r="B102" s="104"/>
      <c r="C102" s="171"/>
      <c r="D102" s="175">
        <f>SUBTOTAL(9,D85:D101)</f>
        <v>0</v>
      </c>
      <c r="E102" s="175">
        <f t="shared" ref="E102:K102" si="32">SUBTOTAL(9,E85:E101)</f>
        <v>0</v>
      </c>
      <c r="F102" s="175">
        <f t="shared" si="32"/>
        <v>0</v>
      </c>
      <c r="G102" s="175">
        <f t="shared" si="32"/>
        <v>0</v>
      </c>
      <c r="H102" s="175">
        <f t="shared" si="32"/>
        <v>0</v>
      </c>
      <c r="I102" s="175">
        <f t="shared" si="32"/>
        <v>0</v>
      </c>
      <c r="J102" s="175">
        <f t="shared" si="32"/>
        <v>0</v>
      </c>
      <c r="K102" s="175">
        <f t="shared" si="32"/>
        <v>0</v>
      </c>
    </row>
    <row r="103" spans="1:11" ht="15" customHeight="1" x14ac:dyDescent="0.3">
      <c r="A103" s="104"/>
      <c r="B103" s="104"/>
      <c r="C103" s="171"/>
      <c r="D103" s="104"/>
      <c r="E103" s="104"/>
      <c r="F103" s="104"/>
      <c r="G103" s="104"/>
      <c r="H103" s="104"/>
      <c r="I103" s="104"/>
      <c r="J103" s="104"/>
      <c r="K103" s="104"/>
    </row>
    <row r="104" spans="1:11" ht="15" customHeight="1" x14ac:dyDescent="0.3">
      <c r="A104" s="104"/>
      <c r="B104" s="104"/>
      <c r="C104" s="171"/>
      <c r="D104" s="175">
        <f t="shared" ref="D104:K104" si="33">SUBTOTAL(9,D6:D103)</f>
        <v>13963870.521875</v>
      </c>
      <c r="E104" s="175">
        <f t="shared" si="33"/>
        <v>558554.82000000007</v>
      </c>
      <c r="F104" s="175">
        <f t="shared" si="33"/>
        <v>14522425.341875002</v>
      </c>
      <c r="G104" s="175">
        <f t="shared" si="33"/>
        <v>726121.31999999983</v>
      </c>
      <c r="H104" s="175">
        <f t="shared" si="33"/>
        <v>1524854.7200000002</v>
      </c>
      <c r="I104" s="175">
        <f t="shared" si="33"/>
        <v>461268.52999999997</v>
      </c>
      <c r="J104" s="175">
        <f t="shared" si="33"/>
        <v>506165</v>
      </c>
      <c r="K104" s="175">
        <f t="shared" si="33"/>
        <v>17740834.911874998</v>
      </c>
    </row>
    <row r="106" spans="1:11" ht="15" customHeight="1" x14ac:dyDescent="0.3">
      <c r="A106" s="104"/>
      <c r="B106" s="104" t="s">
        <v>233</v>
      </c>
      <c r="C106" s="171"/>
      <c r="D106" s="104"/>
      <c r="E106" s="104"/>
      <c r="F106" s="104"/>
      <c r="G106" s="104"/>
      <c r="H106" s="104"/>
      <c r="I106" s="104"/>
      <c r="J106" s="104"/>
      <c r="K106" s="104"/>
    </row>
    <row r="107" spans="1:11" ht="15" customHeight="1" x14ac:dyDescent="0.3">
      <c r="A107" s="181">
        <f>+D25/B112</f>
        <v>7.2762244598689992E-3</v>
      </c>
      <c r="B107" s="104" t="s">
        <v>234</v>
      </c>
      <c r="C107" s="171"/>
      <c r="D107" s="104"/>
      <c r="E107" s="104"/>
      <c r="F107" s="104"/>
      <c r="G107" s="175">
        <f>'GMCB Table 1'!E13</f>
        <v>726119</v>
      </c>
      <c r="H107" s="175">
        <f>'GMCB Table 1'!E14</f>
        <v>1524855</v>
      </c>
      <c r="I107" s="175">
        <f>'GMCB Table 1'!E15</f>
        <v>461269</v>
      </c>
      <c r="J107" s="175">
        <f>'GMCB Table 1'!E12</f>
        <v>506165</v>
      </c>
      <c r="K107" s="175">
        <f>'GMCB Table 1'!E17</f>
        <v>17740836</v>
      </c>
    </row>
    <row r="108" spans="1:11" ht="15" customHeight="1" x14ac:dyDescent="0.3">
      <c r="A108" s="181">
        <f>+D45/B112</f>
        <v>0.90990266835651912</v>
      </c>
      <c r="B108" s="104" t="s">
        <v>235</v>
      </c>
      <c r="C108" s="171"/>
      <c r="D108" s="104"/>
      <c r="E108" s="104"/>
      <c r="F108" s="104"/>
      <c r="G108" s="182">
        <f>G107-G104</f>
        <v>-2.3199999998323619</v>
      </c>
      <c r="H108" s="182">
        <f>H107-H104</f>
        <v>0.27999999979510903</v>
      </c>
      <c r="I108" s="182">
        <f>I107-I104</f>
        <v>0.47000000003026798</v>
      </c>
      <c r="J108" s="182">
        <f>J107-J104</f>
        <v>0</v>
      </c>
      <c r="K108" s="182">
        <f>K107-K104</f>
        <v>1.0881250016391277</v>
      </c>
    </row>
    <row r="109" spans="1:11" ht="15" customHeight="1" x14ac:dyDescent="0.3">
      <c r="A109" s="181"/>
      <c r="B109" s="104" t="s">
        <v>236</v>
      </c>
      <c r="C109" s="171"/>
      <c r="D109" s="104"/>
      <c r="E109" s="104"/>
      <c r="F109" s="104"/>
      <c r="G109" s="104"/>
      <c r="H109" s="104"/>
      <c r="I109" s="104"/>
      <c r="J109" s="104"/>
      <c r="K109" s="104"/>
    </row>
    <row r="110" spans="1:11" ht="15" customHeight="1" x14ac:dyDescent="0.3">
      <c r="A110" s="181">
        <f>+D83/B112</f>
        <v>0.14648813422621956</v>
      </c>
      <c r="B110" s="104" t="s">
        <v>237</v>
      </c>
      <c r="C110" s="171"/>
      <c r="D110" s="104"/>
      <c r="E110" s="104"/>
      <c r="F110" s="104"/>
      <c r="G110" s="104"/>
      <c r="H110" s="104"/>
      <c r="I110" s="104"/>
      <c r="J110" s="104"/>
      <c r="K110" s="104"/>
    </row>
    <row r="112" spans="1:11" ht="15" customHeight="1" x14ac:dyDescent="0.3">
      <c r="B112" s="72">
        <f>+'HPC Div est'!H132-'HPC Div est'!H19-'HPC Div est'!H20-'HPC Div est'!H21</f>
        <v>11405335</v>
      </c>
      <c r="C112" s="1" t="s">
        <v>238</v>
      </c>
    </row>
    <row r="113" spans="2:2" ht="15" customHeight="1" x14ac:dyDescent="0.3">
      <c r="B113" s="72"/>
    </row>
    <row r="114" spans="2:2" ht="15" customHeight="1" x14ac:dyDescent="0.3">
      <c r="B114" s="72"/>
    </row>
  </sheetData>
  <pageMargins left="0.7" right="0.7" top="0.75" bottom="0.75" header="0.3" footer="0.3"/>
  <pageSetup scale="90" fitToHeight="0" orientation="landscape" r:id="rId1"/>
  <headerFooter>
    <oddHeader>&amp;L&amp;"-,Bold"&amp;12Attachment C - &amp;A</oddHeader>
    <oddFooter>&amp;L&amp;F&amp;RPage &amp;P of &amp;N</oddFooter>
  </headerFooter>
  <rowBreaks count="4" manualBreakCount="4">
    <brk id="25" max="16383" man="1"/>
    <brk id="45" max="16383" man="1"/>
    <brk id="64" max="16383" man="1"/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46"/>
  <sheetViews>
    <sheetView topLeftCell="A127" workbookViewId="0">
      <selection activeCell="A139" sqref="A139:XFD139"/>
    </sheetView>
  </sheetViews>
  <sheetFormatPr defaultRowHeight="14.4" x14ac:dyDescent="0.3"/>
  <cols>
    <col min="1" max="1" width="10.6640625" bestFit="1" customWidth="1"/>
    <col min="2" max="2" width="2.5546875" customWidth="1"/>
    <col min="3" max="3" width="5.6640625" customWidth="1"/>
    <col min="4" max="4" width="7.5546875" customWidth="1"/>
    <col min="5" max="5" width="28.33203125" customWidth="1"/>
    <col min="7" max="7" width="11.33203125" customWidth="1"/>
    <col min="8" max="8" width="18.5546875" customWidth="1"/>
    <col min="9" max="9" width="18.6640625" customWidth="1"/>
    <col min="10" max="10" width="11.88671875" customWidth="1"/>
    <col min="11" max="11" width="5.88671875" customWidth="1"/>
    <col min="12" max="12" width="12" customWidth="1"/>
    <col min="13" max="13" width="18.33203125" customWidth="1"/>
    <col min="14" max="14" width="17.6640625" customWidth="1"/>
    <col min="15" max="15" width="14.33203125" customWidth="1"/>
    <col min="16" max="16" width="5.6640625" customWidth="1"/>
    <col min="17" max="17" width="18.6640625" customWidth="1"/>
    <col min="18" max="18" width="18.5546875" customWidth="1"/>
    <col min="19" max="19" width="16.88671875" customWidth="1"/>
    <col min="20" max="20" width="16.5546875" customWidth="1"/>
  </cols>
  <sheetData>
    <row r="2" spans="3:21" ht="21" x14ac:dyDescent="0.4">
      <c r="C2" s="55" t="s">
        <v>63</v>
      </c>
      <c r="D2" s="29"/>
      <c r="E2" s="29"/>
      <c r="J2" t="s">
        <v>64</v>
      </c>
      <c r="L2" t="s">
        <v>65</v>
      </c>
    </row>
    <row r="3" spans="3:21" ht="21" x14ac:dyDescent="0.4">
      <c r="C3" s="55" t="s">
        <v>66</v>
      </c>
      <c r="D3" s="29"/>
      <c r="E3" s="29"/>
      <c r="J3" t="s">
        <v>67</v>
      </c>
      <c r="L3" t="s">
        <v>68</v>
      </c>
    </row>
    <row r="4" spans="3:21" ht="15.6" x14ac:dyDescent="0.3">
      <c r="C4" s="55" t="s">
        <v>69</v>
      </c>
    </row>
    <row r="5" spans="3:21" ht="12.6" customHeight="1" thickBot="1" x14ac:dyDescent="0.45">
      <c r="C5" s="29"/>
    </row>
    <row r="6" spans="3:21" ht="21.6" thickBot="1" x14ac:dyDescent="0.45">
      <c r="C6" s="29"/>
      <c r="G6" s="30" t="s">
        <v>1</v>
      </c>
      <c r="H6" s="31"/>
      <c r="K6" s="32" t="s">
        <v>70</v>
      </c>
      <c r="L6" s="33"/>
      <c r="N6" s="34"/>
    </row>
    <row r="7" spans="3:21" ht="17.399999999999999" x14ac:dyDescent="0.3">
      <c r="C7" s="35" t="s">
        <v>71</v>
      </c>
      <c r="G7" s="36"/>
      <c r="H7" s="37"/>
      <c r="I7" s="38"/>
      <c r="J7" s="39"/>
      <c r="K7" s="40" t="s">
        <v>72</v>
      </c>
      <c r="L7" s="41"/>
      <c r="M7" s="42"/>
      <c r="N7" s="43">
        <v>400</v>
      </c>
      <c r="O7" s="44" t="s">
        <v>73</v>
      </c>
    </row>
    <row r="8" spans="3:21" ht="21" x14ac:dyDescent="0.4">
      <c r="C8" s="29"/>
      <c r="G8" s="36" t="s">
        <v>74</v>
      </c>
      <c r="H8" s="37"/>
      <c r="I8" s="45">
        <v>8352</v>
      </c>
      <c r="J8" s="46" t="s">
        <v>73</v>
      </c>
      <c r="K8" s="40" t="s">
        <v>75</v>
      </c>
      <c r="L8" s="41"/>
      <c r="M8" s="41"/>
      <c r="N8" s="47">
        <v>2180</v>
      </c>
      <c r="O8" s="48" t="s">
        <v>73</v>
      </c>
    </row>
    <row r="9" spans="3:21" x14ac:dyDescent="0.3">
      <c r="G9" s="49" t="s">
        <v>76</v>
      </c>
      <c r="H9" s="37"/>
      <c r="I9" s="50">
        <v>7219</v>
      </c>
      <c r="J9" s="46" t="s">
        <v>73</v>
      </c>
      <c r="K9" s="51" t="s">
        <v>77</v>
      </c>
      <c r="L9" s="52"/>
      <c r="M9" s="41"/>
      <c r="N9" s="53">
        <v>1838</v>
      </c>
      <c r="O9" s="54" t="s">
        <v>73</v>
      </c>
    </row>
    <row r="10" spans="3:21" ht="15.6" x14ac:dyDescent="0.3">
      <c r="C10" s="55"/>
      <c r="D10" s="55"/>
      <c r="E10" s="55"/>
      <c r="G10" s="36" t="s">
        <v>78</v>
      </c>
      <c r="H10" s="37"/>
      <c r="I10" s="50">
        <v>6152</v>
      </c>
      <c r="J10" s="46" t="s">
        <v>73</v>
      </c>
      <c r="K10" s="51" t="s">
        <v>79</v>
      </c>
      <c r="L10" s="52"/>
      <c r="M10" s="41"/>
      <c r="N10" s="41">
        <v>1878</v>
      </c>
      <c r="O10" s="54" t="s">
        <v>73</v>
      </c>
      <c r="P10" s="56"/>
    </row>
    <row r="11" spans="3:21" x14ac:dyDescent="0.3">
      <c r="G11" s="36" t="s">
        <v>80</v>
      </c>
      <c r="H11" s="37"/>
      <c r="I11" s="57">
        <v>6152</v>
      </c>
      <c r="J11" s="46" t="s">
        <v>73</v>
      </c>
      <c r="K11" s="51" t="s">
        <v>81</v>
      </c>
      <c r="L11" s="58"/>
      <c r="M11" s="41"/>
      <c r="N11" s="58">
        <v>827</v>
      </c>
      <c r="O11" s="59" t="s">
        <v>73</v>
      </c>
      <c r="S11" s="60" t="s">
        <v>82</v>
      </c>
    </row>
    <row r="12" spans="3:21" ht="15" thickBot="1" x14ac:dyDescent="0.35">
      <c r="G12" s="61" t="s">
        <v>83</v>
      </c>
      <c r="H12" s="62"/>
      <c r="I12" s="63">
        <f>SUM(I8:I11)</f>
        <v>27875</v>
      </c>
      <c r="J12" s="64" t="s">
        <v>73</v>
      </c>
      <c r="K12" s="65" t="s">
        <v>84</v>
      </c>
      <c r="L12" s="66"/>
      <c r="M12" s="66"/>
      <c r="N12" s="67">
        <f>SUM(N7:N11)</f>
        <v>7123</v>
      </c>
      <c r="O12" s="68" t="s">
        <v>73</v>
      </c>
      <c r="R12" s="69" t="s">
        <v>85</v>
      </c>
      <c r="S12" s="70">
        <v>42468</v>
      </c>
    </row>
    <row r="13" spans="3:21" ht="15.6" x14ac:dyDescent="0.3">
      <c r="C13" s="71" t="s">
        <v>86</v>
      </c>
    </row>
    <row r="14" spans="3:21" ht="15" thickBot="1" x14ac:dyDescent="0.35"/>
    <row r="15" spans="3:21" ht="18" thickTop="1" x14ac:dyDescent="0.3">
      <c r="C15" t="s">
        <v>87</v>
      </c>
      <c r="E15" s="72"/>
      <c r="G15" s="73"/>
      <c r="H15" s="74" t="s">
        <v>88</v>
      </c>
      <c r="I15" s="75"/>
      <c r="J15" s="76"/>
      <c r="K15" s="77"/>
      <c r="L15" s="78"/>
      <c r="M15" s="79" t="s">
        <v>89</v>
      </c>
      <c r="N15" s="80"/>
      <c r="O15" s="81"/>
      <c r="P15" s="82"/>
      <c r="Q15" s="83"/>
      <c r="R15" s="84" t="s">
        <v>90</v>
      </c>
      <c r="S15" s="85"/>
      <c r="T15" s="86"/>
      <c r="U15" s="87"/>
    </row>
    <row r="16" spans="3:21" ht="26.4" x14ac:dyDescent="0.3">
      <c r="C16" t="s">
        <v>91</v>
      </c>
      <c r="G16" s="88" t="s">
        <v>92</v>
      </c>
      <c r="H16" s="89" t="s">
        <v>93</v>
      </c>
      <c r="I16" s="90" t="s">
        <v>94</v>
      </c>
      <c r="J16" s="91" t="s">
        <v>95</v>
      </c>
      <c r="K16" s="77"/>
      <c r="L16" s="92" t="s">
        <v>92</v>
      </c>
      <c r="M16" s="93" t="s">
        <v>93</v>
      </c>
      <c r="N16" s="94" t="s">
        <v>94</v>
      </c>
      <c r="O16" s="95" t="s">
        <v>95</v>
      </c>
      <c r="P16" s="82"/>
      <c r="Q16" s="96" t="s">
        <v>93</v>
      </c>
      <c r="R16" s="97" t="s">
        <v>94</v>
      </c>
      <c r="S16" s="97" t="s">
        <v>95</v>
      </c>
      <c r="T16" s="98" t="s">
        <v>96</v>
      </c>
    </row>
    <row r="17" spans="1:20" x14ac:dyDescent="0.3">
      <c r="A17" s="10"/>
      <c r="B17" s="10"/>
      <c r="C17" s="8" t="s">
        <v>97</v>
      </c>
      <c r="D17" s="23"/>
      <c r="E17" s="23"/>
      <c r="F17" s="23"/>
      <c r="G17" s="99"/>
      <c r="H17" s="100"/>
      <c r="I17" s="100"/>
      <c r="J17" s="101"/>
      <c r="K17" s="102"/>
      <c r="L17" s="103"/>
      <c r="M17" s="104"/>
      <c r="N17" s="104"/>
      <c r="O17" s="105"/>
      <c r="P17" s="102"/>
      <c r="Q17" s="103"/>
      <c r="R17" s="104"/>
      <c r="S17" s="104"/>
      <c r="T17" s="105"/>
    </row>
    <row r="18" spans="1:20" x14ac:dyDescent="0.3">
      <c r="A18" s="106" t="s">
        <v>98</v>
      </c>
      <c r="B18" s="107" t="s">
        <v>99</v>
      </c>
      <c r="C18" s="107"/>
      <c r="D18" s="107"/>
      <c r="E18" s="107"/>
      <c r="F18" s="108"/>
      <c r="G18" s="109"/>
      <c r="H18" s="110"/>
      <c r="I18" s="110"/>
      <c r="J18" s="111"/>
      <c r="K18" s="112"/>
      <c r="L18" s="113"/>
      <c r="M18" s="114">
        <f>+L18*$I$9</f>
        <v>0</v>
      </c>
      <c r="N18" s="114"/>
      <c r="O18" s="115"/>
      <c r="P18" s="112"/>
      <c r="Q18" s="113"/>
      <c r="R18" s="116"/>
      <c r="S18" s="116"/>
      <c r="T18" s="117"/>
    </row>
    <row r="19" spans="1:20" x14ac:dyDescent="0.3">
      <c r="A19" s="118"/>
      <c r="B19" s="100"/>
      <c r="C19" s="100" t="s">
        <v>100</v>
      </c>
      <c r="D19" s="100"/>
      <c r="E19" s="100"/>
      <c r="F19" s="100"/>
      <c r="G19" s="119">
        <v>21</v>
      </c>
      <c r="H19" s="120">
        <f>+G19*$I$12</f>
        <v>585375</v>
      </c>
      <c r="I19" s="120"/>
      <c r="J19" s="121"/>
      <c r="K19" s="122"/>
      <c r="L19" s="119">
        <v>22</v>
      </c>
      <c r="M19" s="120">
        <f>+L19*$N$12</f>
        <v>156706</v>
      </c>
      <c r="N19" s="120"/>
      <c r="O19" s="121"/>
      <c r="P19" s="122"/>
      <c r="Q19" s="123">
        <f>+H19+M19</f>
        <v>742081</v>
      </c>
      <c r="R19" s="120"/>
      <c r="S19" s="120"/>
      <c r="T19" s="121"/>
    </row>
    <row r="20" spans="1:20" x14ac:dyDescent="0.3">
      <c r="A20" s="124"/>
      <c r="B20" s="100"/>
      <c r="C20" s="100" t="s">
        <v>101</v>
      </c>
      <c r="D20" s="100"/>
      <c r="E20" s="100"/>
      <c r="F20" s="100"/>
      <c r="G20" s="119">
        <v>3.05</v>
      </c>
      <c r="H20" s="120">
        <f>+G20*$I$12</f>
        <v>85018.75</v>
      </c>
      <c r="I20" s="120"/>
      <c r="J20" s="121"/>
      <c r="K20" s="122"/>
      <c r="L20" s="119">
        <v>3.05</v>
      </c>
      <c r="M20" s="120">
        <f>+L20*$N$12</f>
        <v>21725.149999999998</v>
      </c>
      <c r="N20" s="120"/>
      <c r="O20" s="121"/>
      <c r="P20" s="122"/>
      <c r="Q20" s="123">
        <f>+H20+M20</f>
        <v>106743.9</v>
      </c>
      <c r="R20" s="120"/>
      <c r="S20" s="120"/>
      <c r="T20" s="121"/>
    </row>
    <row r="21" spans="1:20" x14ac:dyDescent="0.3">
      <c r="A21" s="24"/>
      <c r="B21" s="100"/>
      <c r="C21" s="100" t="s">
        <v>102</v>
      </c>
      <c r="D21" s="100"/>
      <c r="E21" s="100"/>
      <c r="F21" s="100"/>
      <c r="G21" s="119">
        <v>2</v>
      </c>
      <c r="H21" s="120">
        <f>+G21*$I$12</f>
        <v>55750</v>
      </c>
      <c r="I21" s="120">
        <f>SUM(H18:H21)</f>
        <v>726143.75</v>
      </c>
      <c r="J21" s="125">
        <f>+I21/$I$12</f>
        <v>26.05</v>
      </c>
      <c r="K21" s="126"/>
      <c r="L21" s="119">
        <v>2</v>
      </c>
      <c r="M21" s="120">
        <f>+L21*$N$12</f>
        <v>14246</v>
      </c>
      <c r="N21" s="120">
        <f>SUM(M18:M21)</f>
        <v>192677.15</v>
      </c>
      <c r="O21" s="125">
        <f>+N21/$N$12</f>
        <v>27.05</v>
      </c>
      <c r="P21" s="126"/>
      <c r="Q21" s="123">
        <f t="shared" ref="Q21:Q124" si="0">+H21+M21</f>
        <v>69996</v>
      </c>
      <c r="R21" s="120">
        <f>SUM(Q18:Q21)</f>
        <v>918820.9</v>
      </c>
      <c r="S21" s="127">
        <f>+R21/($I$12+$N$12)</f>
        <v>26.253525915766616</v>
      </c>
      <c r="T21" s="128">
        <f>+R21/$R$138</f>
        <v>6.0989338530370786E-2</v>
      </c>
    </row>
    <row r="22" spans="1:20" x14ac:dyDescent="0.3">
      <c r="A22" s="106" t="s">
        <v>103</v>
      </c>
      <c r="B22" s="107" t="s">
        <v>5</v>
      </c>
      <c r="C22" s="107"/>
      <c r="D22" s="107"/>
      <c r="E22" s="107"/>
      <c r="F22" s="108"/>
      <c r="G22" s="109"/>
      <c r="H22" s="110"/>
      <c r="I22" s="110"/>
      <c r="J22" s="111"/>
      <c r="K22" s="112"/>
      <c r="L22" s="113"/>
      <c r="M22" s="114"/>
      <c r="N22" s="114"/>
      <c r="O22" s="115"/>
      <c r="P22" s="112"/>
      <c r="Q22" s="113"/>
      <c r="R22" s="116"/>
      <c r="S22" s="116"/>
      <c r="T22" s="117"/>
    </row>
    <row r="23" spans="1:20" x14ac:dyDescent="0.3">
      <c r="A23" s="118"/>
      <c r="B23" s="100"/>
      <c r="C23" s="129" t="s">
        <v>104</v>
      </c>
      <c r="D23" s="100"/>
      <c r="E23" s="100"/>
      <c r="F23" s="100"/>
      <c r="G23" s="119">
        <v>2</v>
      </c>
      <c r="H23" s="166">
        <f t="shared" ref="H23:H30" si="1">+G23*$I$12</f>
        <v>55750</v>
      </c>
      <c r="I23" s="120"/>
      <c r="J23" s="121"/>
      <c r="K23" s="122"/>
      <c r="L23" s="119">
        <v>8</v>
      </c>
      <c r="M23" s="166">
        <f t="shared" ref="M23:M30" si="2">+L23*$N$12</f>
        <v>56984</v>
      </c>
      <c r="N23" s="120"/>
      <c r="O23" s="121"/>
      <c r="P23" s="122"/>
      <c r="Q23" s="123">
        <f t="shared" si="0"/>
        <v>112734</v>
      </c>
      <c r="R23" s="104"/>
      <c r="S23" s="120"/>
      <c r="T23" s="121"/>
    </row>
    <row r="24" spans="1:20" x14ac:dyDescent="0.3">
      <c r="A24" s="124"/>
      <c r="B24" s="100"/>
      <c r="C24" s="129" t="s">
        <v>105</v>
      </c>
      <c r="D24" s="100"/>
      <c r="E24" s="100"/>
      <c r="F24" s="100"/>
      <c r="G24" s="119">
        <v>2.8</v>
      </c>
      <c r="H24" s="167">
        <f t="shared" si="1"/>
        <v>78050</v>
      </c>
      <c r="I24" s="120"/>
      <c r="J24" s="121"/>
      <c r="K24" s="122"/>
      <c r="L24" s="119">
        <v>0</v>
      </c>
      <c r="M24" s="166">
        <f>+L24*$N$12</f>
        <v>0</v>
      </c>
      <c r="N24" s="120"/>
      <c r="O24" s="121"/>
      <c r="P24" s="122"/>
      <c r="Q24" s="123">
        <f>+H24+M24</f>
        <v>78050</v>
      </c>
      <c r="R24" s="104"/>
      <c r="S24" s="120"/>
      <c r="T24" s="121"/>
    </row>
    <row r="25" spans="1:20" x14ac:dyDescent="0.3">
      <c r="A25" s="124"/>
      <c r="B25" s="100"/>
      <c r="C25" s="129" t="s">
        <v>106</v>
      </c>
      <c r="D25" s="100"/>
      <c r="E25" s="100"/>
      <c r="F25" s="100"/>
      <c r="G25" s="119">
        <v>1.75</v>
      </c>
      <c r="H25" s="166">
        <f t="shared" si="1"/>
        <v>48781.25</v>
      </c>
      <c r="I25" s="120"/>
      <c r="J25" s="121"/>
      <c r="K25" s="122"/>
      <c r="L25" s="119">
        <v>0</v>
      </c>
      <c r="M25" s="166">
        <f>+L25*$N$12</f>
        <v>0</v>
      </c>
      <c r="N25" s="120"/>
      <c r="O25" s="121"/>
      <c r="P25" s="122"/>
      <c r="Q25" s="123">
        <f>+H25+M25</f>
        <v>48781.25</v>
      </c>
      <c r="R25" s="104"/>
      <c r="S25" s="120"/>
      <c r="T25" s="121"/>
    </row>
    <row r="26" spans="1:20" x14ac:dyDescent="0.3">
      <c r="A26" s="124"/>
      <c r="B26" s="100"/>
      <c r="C26" s="129" t="s">
        <v>107</v>
      </c>
      <c r="D26" s="100"/>
      <c r="E26" s="100"/>
      <c r="F26" s="100"/>
      <c r="G26" s="119">
        <v>0.35</v>
      </c>
      <c r="H26" s="166">
        <f t="shared" si="1"/>
        <v>9756.25</v>
      </c>
      <c r="I26" s="120"/>
      <c r="J26" s="121"/>
      <c r="K26" s="122"/>
      <c r="L26" s="119">
        <v>0.45</v>
      </c>
      <c r="M26" s="166">
        <f t="shared" si="2"/>
        <v>3205.35</v>
      </c>
      <c r="N26" s="120"/>
      <c r="O26" s="121"/>
      <c r="P26" s="122"/>
      <c r="Q26" s="123">
        <f t="shared" si="0"/>
        <v>12961.6</v>
      </c>
      <c r="R26" s="120"/>
      <c r="S26" s="120"/>
      <c r="T26" s="121"/>
    </row>
    <row r="27" spans="1:20" x14ac:dyDescent="0.3">
      <c r="A27" s="124"/>
      <c r="B27" s="100"/>
      <c r="C27" s="129" t="s">
        <v>108</v>
      </c>
      <c r="D27" s="100"/>
      <c r="E27" s="100"/>
      <c r="F27" s="100"/>
      <c r="G27" s="119">
        <v>0.5</v>
      </c>
      <c r="H27" s="166">
        <f t="shared" si="1"/>
        <v>13937.5</v>
      </c>
      <c r="I27" s="120"/>
      <c r="J27" s="121"/>
      <c r="K27" s="122"/>
      <c r="L27" s="119">
        <v>3</v>
      </c>
      <c r="M27" s="166">
        <f t="shared" si="2"/>
        <v>21369</v>
      </c>
      <c r="N27" s="120"/>
      <c r="O27" s="121"/>
      <c r="P27" s="122"/>
      <c r="Q27" s="123">
        <f t="shared" si="0"/>
        <v>35306.5</v>
      </c>
      <c r="R27" s="120"/>
      <c r="S27" s="120"/>
      <c r="T27" s="121"/>
    </row>
    <row r="28" spans="1:20" x14ac:dyDescent="0.3">
      <c r="A28" s="124"/>
      <c r="B28" s="100"/>
      <c r="C28" s="129" t="s">
        <v>109</v>
      </c>
      <c r="D28" s="100"/>
      <c r="E28" s="100"/>
      <c r="F28" s="100"/>
      <c r="G28" s="119">
        <v>0.25</v>
      </c>
      <c r="H28" s="166">
        <f t="shared" si="1"/>
        <v>6968.75</v>
      </c>
      <c r="I28" s="120"/>
      <c r="J28" s="121"/>
      <c r="K28" s="122"/>
      <c r="L28" s="119">
        <v>2</v>
      </c>
      <c r="M28" s="166">
        <f t="shared" si="2"/>
        <v>14246</v>
      </c>
      <c r="N28" s="120"/>
      <c r="O28" s="121"/>
      <c r="P28" s="122"/>
      <c r="Q28" s="123">
        <f t="shared" si="0"/>
        <v>21214.75</v>
      </c>
      <c r="R28" s="120"/>
      <c r="S28" s="120"/>
      <c r="T28" s="121"/>
    </row>
    <row r="29" spans="1:20" x14ac:dyDescent="0.3">
      <c r="A29" s="124"/>
      <c r="B29" s="100"/>
      <c r="C29" s="129" t="s">
        <v>110</v>
      </c>
      <c r="D29" s="100"/>
      <c r="E29" s="100"/>
      <c r="F29" s="100"/>
      <c r="G29" s="119">
        <v>0.25</v>
      </c>
      <c r="H29" s="166">
        <f t="shared" si="1"/>
        <v>6968.75</v>
      </c>
      <c r="I29" s="120"/>
      <c r="J29" s="121"/>
      <c r="K29" s="122"/>
      <c r="L29" s="119">
        <v>0</v>
      </c>
      <c r="M29" s="166">
        <f t="shared" si="2"/>
        <v>0</v>
      </c>
      <c r="N29" s="120"/>
      <c r="O29" s="121"/>
      <c r="P29" s="122"/>
      <c r="Q29" s="123">
        <f t="shared" si="0"/>
        <v>6968.75</v>
      </c>
      <c r="R29" s="120"/>
      <c r="S29" s="120"/>
      <c r="T29" s="121"/>
    </row>
    <row r="30" spans="1:20" x14ac:dyDescent="0.3">
      <c r="A30" s="24"/>
      <c r="B30" s="100"/>
      <c r="C30" s="129" t="s">
        <v>111</v>
      </c>
      <c r="D30" s="100"/>
      <c r="E30" s="100"/>
      <c r="F30" s="100"/>
      <c r="G30" s="119">
        <v>0.25</v>
      </c>
      <c r="H30" s="166">
        <f t="shared" si="1"/>
        <v>6968.75</v>
      </c>
      <c r="I30" s="120">
        <f>SUM(H23:H30)</f>
        <v>227181.25</v>
      </c>
      <c r="J30" s="125">
        <f>+I30/$I$12</f>
        <v>8.15</v>
      </c>
      <c r="K30" s="126"/>
      <c r="L30" s="119">
        <v>1</v>
      </c>
      <c r="M30" s="166">
        <f t="shared" si="2"/>
        <v>7123</v>
      </c>
      <c r="N30" s="120">
        <f>SUM(M23:M30)</f>
        <v>102927.35</v>
      </c>
      <c r="O30" s="125">
        <f>+N30/$N$12</f>
        <v>14.450000000000001</v>
      </c>
      <c r="P30" s="126"/>
      <c r="Q30" s="123">
        <f t="shared" si="0"/>
        <v>14091.75</v>
      </c>
      <c r="R30" s="120">
        <f>SUM(Q22:Q30)</f>
        <v>330108.59999999998</v>
      </c>
      <c r="S30" s="127">
        <f>+R30/($I$12+$N$12)</f>
        <v>9.4322132693296759</v>
      </c>
      <c r="T30" s="128">
        <f>+R30/$R$138</f>
        <v>2.1911892902291136E-2</v>
      </c>
    </row>
    <row r="31" spans="1:20" x14ac:dyDescent="0.3">
      <c r="A31" s="106" t="s">
        <v>112</v>
      </c>
      <c r="B31" s="107" t="s">
        <v>113</v>
      </c>
      <c r="C31" s="107"/>
      <c r="D31" s="107"/>
      <c r="E31" s="107"/>
      <c r="F31" s="108"/>
      <c r="G31" s="109"/>
      <c r="H31" s="110"/>
      <c r="I31" s="110"/>
      <c r="J31" s="111"/>
      <c r="K31" s="112"/>
      <c r="L31" s="113"/>
      <c r="M31" s="114"/>
      <c r="N31" s="114"/>
      <c r="O31" s="115"/>
      <c r="P31" s="112"/>
      <c r="Q31" s="113"/>
      <c r="R31" s="116"/>
      <c r="S31" s="116"/>
      <c r="T31" s="117"/>
    </row>
    <row r="32" spans="1:20" x14ac:dyDescent="0.3">
      <c r="A32" s="118"/>
      <c r="B32" s="100"/>
      <c r="C32" s="100" t="s">
        <v>114</v>
      </c>
      <c r="D32" s="100"/>
      <c r="E32" s="100"/>
      <c r="F32" s="100"/>
      <c r="G32" s="119">
        <v>6</v>
      </c>
      <c r="H32" s="166">
        <f>+G32*$I$12</f>
        <v>167250</v>
      </c>
      <c r="I32" s="120"/>
      <c r="J32" s="121"/>
      <c r="K32" s="122"/>
      <c r="L32" s="119">
        <v>0</v>
      </c>
      <c r="M32" s="120">
        <f>+L32*$N$12</f>
        <v>0</v>
      </c>
      <c r="N32" s="120"/>
      <c r="O32" s="121"/>
      <c r="P32" s="122"/>
      <c r="Q32" s="123">
        <f t="shared" si="0"/>
        <v>167250</v>
      </c>
      <c r="R32" s="120"/>
      <c r="S32" s="120"/>
      <c r="T32" s="121"/>
    </row>
    <row r="33" spans="1:20" x14ac:dyDescent="0.3">
      <c r="A33" s="124"/>
      <c r="B33" s="100"/>
      <c r="C33" s="129" t="s">
        <v>115</v>
      </c>
      <c r="D33" s="100"/>
      <c r="E33" s="100"/>
      <c r="F33" s="100"/>
      <c r="G33" s="119">
        <v>7.5</v>
      </c>
      <c r="H33" s="166">
        <f>+G33*$I$12</f>
        <v>209062.5</v>
      </c>
      <c r="I33" s="120"/>
      <c r="J33" s="121"/>
      <c r="K33" s="122"/>
      <c r="L33" s="119">
        <v>0</v>
      </c>
      <c r="M33" s="120">
        <f>+L33*$N$12</f>
        <v>0</v>
      </c>
      <c r="N33" s="120"/>
      <c r="O33" s="121"/>
      <c r="P33" s="122"/>
      <c r="Q33" s="123">
        <f t="shared" si="0"/>
        <v>209062.5</v>
      </c>
      <c r="R33" s="120"/>
      <c r="S33" s="120"/>
      <c r="T33" s="121"/>
    </row>
    <row r="34" spans="1:20" x14ac:dyDescent="0.3">
      <c r="A34" s="124"/>
      <c r="B34" s="100"/>
      <c r="C34" s="129" t="s">
        <v>116</v>
      </c>
      <c r="D34" s="100"/>
      <c r="E34" s="100"/>
      <c r="F34" s="100"/>
      <c r="G34" s="119">
        <v>1</v>
      </c>
      <c r="H34" s="166">
        <f>+G34*$I$12</f>
        <v>27875</v>
      </c>
      <c r="I34" s="120"/>
      <c r="J34" s="121"/>
      <c r="K34" s="122"/>
      <c r="L34" s="119">
        <v>0</v>
      </c>
      <c r="M34" s="120">
        <f>+L34*$N$12</f>
        <v>0</v>
      </c>
      <c r="N34" s="120"/>
      <c r="O34" s="121"/>
      <c r="P34" s="122"/>
      <c r="Q34" s="123">
        <f t="shared" si="0"/>
        <v>27875</v>
      </c>
      <c r="R34" s="120"/>
      <c r="S34" s="120"/>
      <c r="T34" s="121"/>
    </row>
    <row r="35" spans="1:20" x14ac:dyDescent="0.3">
      <c r="A35" s="24"/>
      <c r="B35" s="100"/>
      <c r="C35" s="100" t="s">
        <v>117</v>
      </c>
      <c r="D35" s="100"/>
      <c r="E35" s="100"/>
      <c r="F35" s="100"/>
      <c r="G35" s="119">
        <v>1</v>
      </c>
      <c r="H35" s="166">
        <f>+G35*$I$12</f>
        <v>27875</v>
      </c>
      <c r="I35" s="120">
        <f>SUM(H32:H35)</f>
        <v>432062.5</v>
      </c>
      <c r="J35" s="125">
        <f>+I35/$I$12</f>
        <v>15.5</v>
      </c>
      <c r="K35" s="126"/>
      <c r="L35" s="119">
        <v>0</v>
      </c>
      <c r="M35" s="120">
        <f>+L35*$N$12</f>
        <v>0</v>
      </c>
      <c r="N35" s="120">
        <f>SUM(M31:M35)</f>
        <v>0</v>
      </c>
      <c r="O35" s="125">
        <f>+N35/$N$12</f>
        <v>0</v>
      </c>
      <c r="P35" s="126"/>
      <c r="Q35" s="123">
        <f t="shared" si="0"/>
        <v>27875</v>
      </c>
      <c r="R35" s="120">
        <f>SUM(Q31:Q35)</f>
        <v>432062.5</v>
      </c>
      <c r="S35" s="127">
        <f>+R35/($I$12+$N$12)</f>
        <v>12.345348305617463</v>
      </c>
      <c r="T35" s="128">
        <f>+R35/$R$138</f>
        <v>2.8679371658588009E-2</v>
      </c>
    </row>
    <row r="36" spans="1:20" x14ac:dyDescent="0.3">
      <c r="A36" s="106" t="s">
        <v>118</v>
      </c>
      <c r="B36" s="107" t="s">
        <v>119</v>
      </c>
      <c r="C36" s="107"/>
      <c r="D36" s="107"/>
      <c r="E36" s="107"/>
      <c r="F36" s="108"/>
      <c r="G36" s="109"/>
      <c r="H36" s="110"/>
      <c r="I36" s="110"/>
      <c r="J36" s="111"/>
      <c r="K36" s="112"/>
      <c r="L36" s="113"/>
      <c r="M36" s="114"/>
      <c r="N36" s="114"/>
      <c r="O36" s="115"/>
      <c r="P36" s="112"/>
      <c r="Q36" s="113"/>
      <c r="R36" s="116"/>
      <c r="S36" s="116"/>
      <c r="T36" s="117"/>
    </row>
    <row r="37" spans="1:20" x14ac:dyDescent="0.3">
      <c r="A37" s="130"/>
      <c r="B37" s="131"/>
      <c r="C37" s="100" t="s">
        <v>120</v>
      </c>
      <c r="D37" s="100"/>
      <c r="E37" s="100"/>
      <c r="F37" s="100"/>
      <c r="G37" s="119">
        <v>0.5</v>
      </c>
      <c r="H37" s="166">
        <f t="shared" ref="H37:H44" si="3">+G37*$I$12</f>
        <v>13937.5</v>
      </c>
      <c r="I37" s="120"/>
      <c r="J37" s="121"/>
      <c r="K37" s="122"/>
      <c r="L37" s="119">
        <v>1</v>
      </c>
      <c r="M37" s="166">
        <f>+L37*$N$12</f>
        <v>7123</v>
      </c>
      <c r="N37" s="120"/>
      <c r="O37" s="121"/>
      <c r="P37" s="122"/>
      <c r="Q37" s="123">
        <f t="shared" si="0"/>
        <v>21060.5</v>
      </c>
      <c r="R37" s="120"/>
      <c r="S37" s="120"/>
      <c r="T37" s="121"/>
    </row>
    <row r="38" spans="1:20" x14ac:dyDescent="0.3">
      <c r="A38" s="24"/>
      <c r="B38" s="100"/>
      <c r="C38" s="100" t="s">
        <v>121</v>
      </c>
      <c r="D38" s="100"/>
      <c r="E38" s="100"/>
      <c r="F38" s="100"/>
      <c r="G38" s="119">
        <v>14.53</v>
      </c>
      <c r="H38" s="166">
        <f t="shared" si="3"/>
        <v>405023.75</v>
      </c>
      <c r="I38" s="120">
        <f>SUM(H37:H38)</f>
        <v>418961.25</v>
      </c>
      <c r="J38" s="125">
        <f>+I38/$I$12</f>
        <v>15.03</v>
      </c>
      <c r="K38" s="126"/>
      <c r="L38" s="119">
        <v>0</v>
      </c>
      <c r="M38" s="120">
        <f>+L38*$N$12</f>
        <v>0</v>
      </c>
      <c r="N38" s="120">
        <f>SUM(M36:M38)</f>
        <v>7123</v>
      </c>
      <c r="O38" s="125">
        <f>+N38/$N$12</f>
        <v>1</v>
      </c>
      <c r="P38" s="126"/>
      <c r="Q38" s="123">
        <f t="shared" si="0"/>
        <v>405023.75</v>
      </c>
      <c r="R38" s="120">
        <f>SUM(Q36:Q38)</f>
        <v>426084.25</v>
      </c>
      <c r="S38" s="127">
        <f>+R38/($I$12+$N$12)</f>
        <v>12.174531401794388</v>
      </c>
      <c r="T38" s="128">
        <f>+R38/$R$138</f>
        <v>2.8282548389690677E-2</v>
      </c>
    </row>
    <row r="39" spans="1:20" x14ac:dyDescent="0.3">
      <c r="A39" s="106" t="s">
        <v>122</v>
      </c>
      <c r="B39" s="107" t="s">
        <v>123</v>
      </c>
      <c r="C39" s="107"/>
      <c r="D39" s="107"/>
      <c r="E39" s="107"/>
      <c r="F39" s="108"/>
      <c r="G39" s="109"/>
      <c r="H39" s="110">
        <f t="shared" si="3"/>
        <v>0</v>
      </c>
      <c r="I39" s="110"/>
      <c r="J39" s="111"/>
      <c r="K39" s="112"/>
      <c r="L39" s="113"/>
      <c r="M39" s="114"/>
      <c r="N39" s="114"/>
      <c r="O39" s="115"/>
      <c r="P39" s="112"/>
      <c r="Q39" s="113"/>
      <c r="R39" s="116"/>
      <c r="S39" s="116"/>
      <c r="T39" s="117"/>
    </row>
    <row r="40" spans="1:20" x14ac:dyDescent="0.3">
      <c r="A40" s="118"/>
      <c r="B40" s="100"/>
      <c r="C40" s="100" t="s">
        <v>124</v>
      </c>
      <c r="D40" s="100"/>
      <c r="E40" s="100"/>
      <c r="F40" s="100"/>
      <c r="G40" s="119">
        <v>16</v>
      </c>
      <c r="H40" s="166">
        <f t="shared" si="3"/>
        <v>446000</v>
      </c>
      <c r="I40" s="120"/>
      <c r="J40" s="121"/>
      <c r="K40" s="122"/>
      <c r="L40" s="119">
        <v>0</v>
      </c>
      <c r="M40" s="166">
        <f>+L40*$N$12</f>
        <v>0</v>
      </c>
      <c r="N40" s="120"/>
      <c r="O40" s="121"/>
      <c r="P40" s="122"/>
      <c r="Q40" s="123">
        <f t="shared" si="0"/>
        <v>446000</v>
      </c>
      <c r="R40" s="120"/>
      <c r="S40" s="120"/>
      <c r="T40" s="121"/>
    </row>
    <row r="41" spans="1:20" x14ac:dyDescent="0.3">
      <c r="A41" s="124"/>
      <c r="B41" s="100"/>
      <c r="C41" s="129" t="s">
        <v>125</v>
      </c>
      <c r="D41" s="100"/>
      <c r="E41" s="100"/>
      <c r="F41" s="100"/>
      <c r="G41" s="119">
        <v>2</v>
      </c>
      <c r="H41" s="166">
        <f t="shared" si="3"/>
        <v>55750</v>
      </c>
      <c r="I41" s="120"/>
      <c r="J41" s="121"/>
      <c r="K41" s="122"/>
      <c r="L41" s="119">
        <v>0</v>
      </c>
      <c r="M41" s="166">
        <f>+L41*$N$12</f>
        <v>0</v>
      </c>
      <c r="N41" s="120"/>
      <c r="O41" s="121"/>
      <c r="P41" s="122"/>
      <c r="Q41" s="123">
        <f t="shared" si="0"/>
        <v>55750</v>
      </c>
      <c r="R41" s="120"/>
      <c r="S41" s="120"/>
      <c r="T41" s="121"/>
    </row>
    <row r="42" spans="1:20" x14ac:dyDescent="0.3">
      <c r="A42" s="124"/>
      <c r="B42" s="100"/>
      <c r="C42" s="129" t="s">
        <v>126</v>
      </c>
      <c r="D42" s="100"/>
      <c r="E42" s="100"/>
      <c r="F42" s="100"/>
      <c r="G42" s="119">
        <v>2</v>
      </c>
      <c r="H42" s="166">
        <f t="shared" si="3"/>
        <v>55750</v>
      </c>
      <c r="I42" s="120"/>
      <c r="J42" s="121"/>
      <c r="K42" s="122"/>
      <c r="L42" s="119">
        <v>0</v>
      </c>
      <c r="M42" s="166">
        <f>+L42*$N$12</f>
        <v>0</v>
      </c>
      <c r="N42" s="120"/>
      <c r="O42" s="121"/>
      <c r="P42" s="122"/>
      <c r="Q42" s="123">
        <f t="shared" si="0"/>
        <v>55750</v>
      </c>
      <c r="R42" s="120"/>
      <c r="S42" s="120"/>
      <c r="T42" s="121"/>
    </row>
    <row r="43" spans="1:20" x14ac:dyDescent="0.3">
      <c r="A43" s="124"/>
      <c r="B43" s="100"/>
      <c r="C43" s="129" t="s">
        <v>127</v>
      </c>
      <c r="D43" s="100"/>
      <c r="E43" s="100"/>
      <c r="F43" s="100"/>
      <c r="G43" s="119">
        <v>1.25</v>
      </c>
      <c r="H43" s="166">
        <f t="shared" si="3"/>
        <v>34843.75</v>
      </c>
      <c r="I43" s="120"/>
      <c r="J43" s="121"/>
      <c r="K43" s="122"/>
      <c r="L43" s="119">
        <v>0</v>
      </c>
      <c r="M43" s="166">
        <f>+L43*$N$12</f>
        <v>0</v>
      </c>
      <c r="N43" s="120"/>
      <c r="O43" s="121"/>
      <c r="P43" s="122"/>
      <c r="Q43" s="123">
        <f t="shared" si="0"/>
        <v>34843.75</v>
      </c>
      <c r="R43" s="120"/>
      <c r="S43" s="120"/>
      <c r="T43" s="121"/>
    </row>
    <row r="44" spans="1:20" x14ac:dyDescent="0.3">
      <c r="A44" s="24"/>
      <c r="B44" s="100"/>
      <c r="C44" s="100" t="s">
        <v>128</v>
      </c>
      <c r="D44" s="100"/>
      <c r="E44" s="100"/>
      <c r="F44" s="100"/>
      <c r="G44" s="119">
        <v>3</v>
      </c>
      <c r="H44" s="166">
        <f t="shared" si="3"/>
        <v>83625</v>
      </c>
      <c r="I44" s="120">
        <f>SUM(H40:H44)</f>
        <v>675968.75</v>
      </c>
      <c r="J44" s="125">
        <f>+I44/$I$12</f>
        <v>24.25</v>
      </c>
      <c r="K44" s="126"/>
      <c r="L44" s="119">
        <v>1</v>
      </c>
      <c r="M44" s="166">
        <f>+L44*$N$12</f>
        <v>7123</v>
      </c>
      <c r="N44" s="120">
        <f>SUM(M39:M44)</f>
        <v>7123</v>
      </c>
      <c r="O44" s="125">
        <f>+N44/$N$12</f>
        <v>1</v>
      </c>
      <c r="P44" s="126"/>
      <c r="Q44" s="123">
        <f t="shared" si="0"/>
        <v>90748</v>
      </c>
      <c r="R44" s="120">
        <f>SUM(Q39:Q44)</f>
        <v>683091.75</v>
      </c>
      <c r="S44" s="127">
        <f>+R44/($I$12+$N$12)</f>
        <v>19.518022458426195</v>
      </c>
      <c r="T44" s="128">
        <f>+R44/$R$138</f>
        <v>4.5342148821444314E-2</v>
      </c>
    </row>
    <row r="45" spans="1:20" x14ac:dyDescent="0.3">
      <c r="A45" s="106" t="s">
        <v>129</v>
      </c>
      <c r="B45" s="107" t="s">
        <v>130</v>
      </c>
      <c r="C45" s="107"/>
      <c r="D45" s="107"/>
      <c r="E45" s="107"/>
      <c r="F45" s="108"/>
      <c r="G45" s="109"/>
      <c r="H45" s="110"/>
      <c r="I45" s="110"/>
      <c r="J45" s="111"/>
      <c r="K45" s="112"/>
      <c r="L45" s="113"/>
      <c r="M45" s="114"/>
      <c r="N45" s="114"/>
      <c r="O45" s="115"/>
      <c r="P45" s="112"/>
      <c r="Q45" s="113"/>
      <c r="R45" s="116"/>
      <c r="S45" s="116"/>
      <c r="T45" s="117"/>
    </row>
    <row r="46" spans="1:20" x14ac:dyDescent="0.3">
      <c r="A46" s="118"/>
      <c r="B46" s="100"/>
      <c r="C46" s="100" t="s">
        <v>131</v>
      </c>
      <c r="D46" s="100"/>
      <c r="E46" s="100"/>
      <c r="F46" s="100"/>
      <c r="G46" s="119">
        <v>2.5</v>
      </c>
      <c r="H46" s="166">
        <f>+G46*$I$12</f>
        <v>69687.5</v>
      </c>
      <c r="I46" s="120"/>
      <c r="J46" s="121"/>
      <c r="K46" s="122"/>
      <c r="L46" s="119">
        <v>1.75</v>
      </c>
      <c r="M46" s="166">
        <f>+L46*$N$12</f>
        <v>12465.25</v>
      </c>
      <c r="N46" s="120"/>
      <c r="O46" s="121"/>
      <c r="P46" s="122"/>
      <c r="Q46" s="123">
        <f t="shared" si="0"/>
        <v>82152.75</v>
      </c>
      <c r="R46" s="120"/>
      <c r="S46" s="120"/>
      <c r="T46" s="121"/>
    </row>
    <row r="47" spans="1:20" x14ac:dyDescent="0.3">
      <c r="A47" s="24"/>
      <c r="B47" s="100"/>
      <c r="C47" s="100" t="s">
        <v>132</v>
      </c>
      <c r="D47" s="100"/>
      <c r="E47" s="100"/>
      <c r="F47" s="100"/>
      <c r="G47" s="119">
        <v>4</v>
      </c>
      <c r="H47" s="166">
        <f>+G47*$I$12</f>
        <v>111500</v>
      </c>
      <c r="I47" s="120">
        <f>SUM(H46:H47)</f>
        <v>181187.5</v>
      </c>
      <c r="J47" s="125">
        <f>+I47/$I$12</f>
        <v>6.5</v>
      </c>
      <c r="K47" s="126"/>
      <c r="L47" s="119">
        <v>12</v>
      </c>
      <c r="M47" s="166">
        <f>+L47*$N$12</f>
        <v>85476</v>
      </c>
      <c r="N47" s="120">
        <f>SUM(M45:M47)</f>
        <v>97941.25</v>
      </c>
      <c r="O47" s="125">
        <f>+N47/$N$12</f>
        <v>13.75</v>
      </c>
      <c r="P47" s="126"/>
      <c r="Q47" s="123">
        <f t="shared" si="0"/>
        <v>196976</v>
      </c>
      <c r="R47" s="120">
        <f>SUM(Q45:Q47)</f>
        <v>279128.75</v>
      </c>
      <c r="S47" s="127">
        <f>+R47/($I$12+$N$12)</f>
        <v>7.9755628893079606</v>
      </c>
      <c r="T47" s="128">
        <f>+R47/$R$138</f>
        <v>1.8527961028432453E-2</v>
      </c>
    </row>
    <row r="48" spans="1:20" x14ac:dyDescent="0.3">
      <c r="A48" s="106" t="s">
        <v>133</v>
      </c>
      <c r="B48" s="107" t="s">
        <v>134</v>
      </c>
      <c r="C48" s="107"/>
      <c r="D48" s="107"/>
      <c r="E48" s="107"/>
      <c r="F48" s="108"/>
      <c r="G48" s="109"/>
      <c r="H48" s="110"/>
      <c r="I48" s="110"/>
      <c r="J48" s="111"/>
      <c r="K48" s="112"/>
      <c r="L48" s="113"/>
      <c r="M48" s="114"/>
      <c r="N48" s="114"/>
      <c r="O48" s="115"/>
      <c r="P48" s="112"/>
      <c r="Q48" s="113"/>
      <c r="R48" s="116"/>
      <c r="S48" s="116"/>
      <c r="T48" s="117"/>
    </row>
    <row r="49" spans="1:20" x14ac:dyDescent="0.3">
      <c r="A49" s="118"/>
      <c r="B49" s="100"/>
      <c r="C49" s="100" t="s">
        <v>135</v>
      </c>
      <c r="D49" s="100"/>
      <c r="E49" s="100"/>
      <c r="F49" s="100"/>
      <c r="G49" s="119">
        <v>0.5</v>
      </c>
      <c r="H49" s="166">
        <f t="shared" ref="H49:H58" si="4">+G49*$I$12</f>
        <v>13937.5</v>
      </c>
      <c r="I49" s="120"/>
      <c r="J49" s="121"/>
      <c r="K49" s="122"/>
      <c r="L49" s="119">
        <v>0</v>
      </c>
      <c r="M49" s="166">
        <f t="shared" ref="M49:M58" si="5">+L49*$N$12</f>
        <v>0</v>
      </c>
      <c r="N49" s="120"/>
      <c r="O49" s="121"/>
      <c r="P49" s="122"/>
      <c r="Q49" s="123">
        <f t="shared" si="0"/>
        <v>13937.5</v>
      </c>
      <c r="R49" s="120"/>
      <c r="S49" s="120"/>
      <c r="T49" s="121"/>
    </row>
    <row r="50" spans="1:20" x14ac:dyDescent="0.3">
      <c r="A50" s="124"/>
      <c r="B50" s="100"/>
      <c r="C50" s="100" t="s">
        <v>136</v>
      </c>
      <c r="D50" s="100"/>
      <c r="E50" s="100"/>
      <c r="F50" s="100"/>
      <c r="G50" s="119">
        <v>1.25</v>
      </c>
      <c r="H50" s="166">
        <f t="shared" si="4"/>
        <v>34843.75</v>
      </c>
      <c r="I50" s="120"/>
      <c r="J50" s="121"/>
      <c r="K50" s="122"/>
      <c r="L50" s="119">
        <v>0</v>
      </c>
      <c r="M50" s="166">
        <f t="shared" si="5"/>
        <v>0</v>
      </c>
      <c r="N50" s="120"/>
      <c r="O50" s="121"/>
      <c r="P50" s="122"/>
      <c r="Q50" s="123">
        <f t="shared" si="0"/>
        <v>34843.75</v>
      </c>
      <c r="R50" s="120"/>
      <c r="S50" s="120"/>
      <c r="T50" s="121"/>
    </row>
    <row r="51" spans="1:20" x14ac:dyDescent="0.3">
      <c r="A51" s="124"/>
      <c r="B51" s="100"/>
      <c r="C51" s="100" t="s">
        <v>137</v>
      </c>
      <c r="D51" s="100"/>
      <c r="E51" s="100"/>
      <c r="F51" s="100"/>
      <c r="G51" s="119">
        <v>0.5</v>
      </c>
      <c r="H51" s="166">
        <f t="shared" si="4"/>
        <v>13937.5</v>
      </c>
      <c r="I51" s="120"/>
      <c r="J51" s="121"/>
      <c r="K51" s="122"/>
      <c r="L51" s="119">
        <v>0</v>
      </c>
      <c r="M51" s="166">
        <f t="shared" si="5"/>
        <v>0</v>
      </c>
      <c r="N51" s="120"/>
      <c r="O51" s="121"/>
      <c r="P51" s="122"/>
      <c r="Q51" s="123">
        <f t="shared" si="0"/>
        <v>13937.5</v>
      </c>
      <c r="R51" s="120"/>
      <c r="S51" s="120"/>
      <c r="T51" s="121"/>
    </row>
    <row r="52" spans="1:20" x14ac:dyDescent="0.3">
      <c r="A52" s="124"/>
      <c r="B52" s="100"/>
      <c r="C52" s="100" t="s">
        <v>138</v>
      </c>
      <c r="D52" s="100"/>
      <c r="E52" s="100"/>
      <c r="F52" s="100"/>
      <c r="G52" s="119">
        <v>0.9</v>
      </c>
      <c r="H52" s="166">
        <f t="shared" si="4"/>
        <v>25087.5</v>
      </c>
      <c r="I52" s="120"/>
      <c r="J52" s="121"/>
      <c r="K52" s="122"/>
      <c r="L52" s="119">
        <v>0</v>
      </c>
      <c r="M52" s="166">
        <f t="shared" si="5"/>
        <v>0</v>
      </c>
      <c r="N52" s="120"/>
      <c r="O52" s="121"/>
      <c r="P52" s="122"/>
      <c r="Q52" s="123">
        <f t="shared" si="0"/>
        <v>25087.5</v>
      </c>
      <c r="R52" s="120"/>
      <c r="S52" s="120"/>
      <c r="T52" s="121"/>
    </row>
    <row r="53" spans="1:20" x14ac:dyDescent="0.3">
      <c r="A53" s="124"/>
      <c r="B53" s="100"/>
      <c r="C53" s="100" t="s">
        <v>139</v>
      </c>
      <c r="D53" s="100"/>
      <c r="E53" s="100"/>
      <c r="F53" s="100"/>
      <c r="G53" s="119">
        <v>11.19</v>
      </c>
      <c r="H53" s="166">
        <f t="shared" si="4"/>
        <v>311921.25</v>
      </c>
      <c r="I53" s="120"/>
      <c r="J53" s="121"/>
      <c r="K53" s="122"/>
      <c r="L53" s="119">
        <v>0</v>
      </c>
      <c r="M53" s="166">
        <f t="shared" si="5"/>
        <v>0</v>
      </c>
      <c r="N53" s="120"/>
      <c r="O53" s="121"/>
      <c r="P53" s="122"/>
      <c r="Q53" s="123">
        <f t="shared" si="0"/>
        <v>311921.25</v>
      </c>
      <c r="R53" s="120"/>
      <c r="S53" s="120"/>
      <c r="T53" s="121"/>
    </row>
    <row r="54" spans="1:20" x14ac:dyDescent="0.3">
      <c r="A54" s="124"/>
      <c r="B54" s="100"/>
      <c r="C54" s="100" t="s">
        <v>140</v>
      </c>
      <c r="D54" s="100"/>
      <c r="E54" s="100"/>
      <c r="F54" s="100"/>
      <c r="G54" s="119">
        <v>1.5</v>
      </c>
      <c r="H54" s="166">
        <f t="shared" si="4"/>
        <v>41812.5</v>
      </c>
      <c r="I54" s="120"/>
      <c r="J54" s="121"/>
      <c r="K54" s="122"/>
      <c r="L54" s="119">
        <v>0</v>
      </c>
      <c r="M54" s="166">
        <f t="shared" si="5"/>
        <v>0</v>
      </c>
      <c r="N54" s="120"/>
      <c r="O54" s="121"/>
      <c r="P54" s="122"/>
      <c r="Q54" s="123">
        <f t="shared" si="0"/>
        <v>41812.5</v>
      </c>
      <c r="R54" s="120"/>
      <c r="S54" s="120"/>
      <c r="T54" s="121"/>
    </row>
    <row r="55" spans="1:20" x14ac:dyDescent="0.3">
      <c r="A55" s="124"/>
      <c r="B55" s="100"/>
      <c r="C55" s="100" t="s">
        <v>141</v>
      </c>
      <c r="D55" s="100"/>
      <c r="E55" s="100"/>
      <c r="F55" s="100"/>
      <c r="G55" s="119">
        <v>4</v>
      </c>
      <c r="H55" s="166">
        <f t="shared" si="4"/>
        <v>111500</v>
      </c>
      <c r="I55" s="120"/>
      <c r="J55" s="121"/>
      <c r="K55" s="122"/>
      <c r="L55" s="119">
        <v>1</v>
      </c>
      <c r="M55" s="166">
        <f t="shared" si="5"/>
        <v>7123</v>
      </c>
      <c r="N55" s="120"/>
      <c r="O55" s="121"/>
      <c r="P55" s="122"/>
      <c r="Q55" s="123">
        <f t="shared" si="0"/>
        <v>118623</v>
      </c>
      <c r="R55" s="120"/>
      <c r="S55" s="120"/>
      <c r="T55" s="121"/>
    </row>
    <row r="56" spans="1:20" x14ac:dyDescent="0.3">
      <c r="A56" s="124"/>
      <c r="B56" s="100"/>
      <c r="C56" s="129" t="s">
        <v>142</v>
      </c>
      <c r="D56" s="100"/>
      <c r="E56" s="100"/>
      <c r="F56" s="100"/>
      <c r="G56" s="119">
        <v>5.4</v>
      </c>
      <c r="H56" s="166">
        <f t="shared" si="4"/>
        <v>150525</v>
      </c>
      <c r="I56" s="120"/>
      <c r="J56" s="121"/>
      <c r="K56" s="122"/>
      <c r="L56" s="119">
        <v>0.65</v>
      </c>
      <c r="M56" s="166">
        <f t="shared" si="5"/>
        <v>4629.95</v>
      </c>
      <c r="N56" s="120"/>
      <c r="O56" s="121"/>
      <c r="P56" s="122"/>
      <c r="Q56" s="123">
        <f t="shared" si="0"/>
        <v>155154.95000000001</v>
      </c>
      <c r="R56" s="120"/>
      <c r="S56" s="120"/>
      <c r="T56" s="121"/>
    </row>
    <row r="57" spans="1:20" x14ac:dyDescent="0.3">
      <c r="A57" s="124"/>
      <c r="B57" s="100"/>
      <c r="C57" s="100" t="s">
        <v>143</v>
      </c>
      <c r="D57" s="100"/>
      <c r="E57" s="100"/>
      <c r="F57" s="100"/>
      <c r="G57" s="119">
        <v>0.5</v>
      </c>
      <c r="H57" s="166">
        <f t="shared" si="4"/>
        <v>13937.5</v>
      </c>
      <c r="I57" s="120"/>
      <c r="J57" s="121"/>
      <c r="K57" s="122"/>
      <c r="L57" s="119">
        <v>1.5</v>
      </c>
      <c r="M57" s="166">
        <f t="shared" si="5"/>
        <v>10684.5</v>
      </c>
      <c r="N57" s="120"/>
      <c r="O57" s="121"/>
      <c r="P57" s="122"/>
      <c r="Q57" s="123">
        <f t="shared" si="0"/>
        <v>24622</v>
      </c>
      <c r="R57" s="120"/>
      <c r="S57" s="120"/>
      <c r="T57" s="121"/>
    </row>
    <row r="58" spans="1:20" x14ac:dyDescent="0.3">
      <c r="A58" s="124"/>
      <c r="B58" s="100"/>
      <c r="C58" s="100" t="s">
        <v>144</v>
      </c>
      <c r="D58" s="100"/>
      <c r="E58" s="100"/>
      <c r="F58" s="100"/>
      <c r="G58" s="119">
        <v>0.5</v>
      </c>
      <c r="H58" s="166">
        <f t="shared" si="4"/>
        <v>13937.5</v>
      </c>
      <c r="I58" s="120">
        <f>SUM(H49:H58)</f>
        <v>731440</v>
      </c>
      <c r="J58" s="125">
        <f>+I58/$I$12</f>
        <v>26.24</v>
      </c>
      <c r="K58" s="126"/>
      <c r="L58" s="119">
        <v>0.5</v>
      </c>
      <c r="M58" s="166">
        <f t="shared" si="5"/>
        <v>3561.5</v>
      </c>
      <c r="N58" s="120">
        <f>SUM(M48:M58)</f>
        <v>25998.95</v>
      </c>
      <c r="O58" s="125">
        <f>+N58/$N$12</f>
        <v>3.65</v>
      </c>
      <c r="P58" s="126"/>
      <c r="Q58" s="123">
        <f t="shared" si="0"/>
        <v>17499</v>
      </c>
      <c r="R58" s="120">
        <f>SUM(Q48:Q58)</f>
        <v>757438.95</v>
      </c>
      <c r="S58" s="127">
        <f>+R58/($I$12+$N$12)</f>
        <v>21.642349562832159</v>
      </c>
      <c r="T58" s="128">
        <f>+R58/$R$138</f>
        <v>5.0277154707341315E-2</v>
      </c>
    </row>
    <row r="59" spans="1:20" x14ac:dyDescent="0.3">
      <c r="A59" s="106" t="s">
        <v>145</v>
      </c>
      <c r="B59" s="107" t="s">
        <v>146</v>
      </c>
      <c r="C59" s="107"/>
      <c r="D59" s="107"/>
      <c r="E59" s="107"/>
      <c r="F59" s="108"/>
      <c r="G59" s="109"/>
      <c r="H59" s="110"/>
      <c r="I59" s="110"/>
      <c r="J59" s="111"/>
      <c r="K59" s="112"/>
      <c r="L59" s="113"/>
      <c r="M59" s="114"/>
      <c r="N59" s="114"/>
      <c r="O59" s="115"/>
      <c r="P59" s="112"/>
      <c r="Q59" s="113"/>
      <c r="R59" s="116"/>
      <c r="S59" s="116"/>
      <c r="T59" s="117"/>
    </row>
    <row r="60" spans="1:20" x14ac:dyDescent="0.3">
      <c r="A60" s="118"/>
      <c r="B60" s="100"/>
      <c r="C60" s="129" t="s">
        <v>147</v>
      </c>
      <c r="D60" s="100"/>
      <c r="E60" s="100"/>
      <c r="F60" s="100"/>
      <c r="G60" s="119">
        <v>5.27</v>
      </c>
      <c r="H60" s="166">
        <f t="shared" ref="H60:H65" si="6">+G60*$I$12</f>
        <v>146901.25</v>
      </c>
      <c r="I60" s="120"/>
      <c r="J60" s="121"/>
      <c r="K60" s="122"/>
      <c r="L60" s="119">
        <v>5.25</v>
      </c>
      <c r="M60" s="166">
        <f t="shared" ref="M60:M65" si="7">+L60*$N$12</f>
        <v>37395.75</v>
      </c>
      <c r="N60" s="120"/>
      <c r="O60" s="121"/>
      <c r="P60" s="122"/>
      <c r="Q60" s="123">
        <f t="shared" si="0"/>
        <v>184297</v>
      </c>
      <c r="R60" s="120"/>
      <c r="S60" s="120"/>
      <c r="T60" s="121"/>
    </row>
    <row r="61" spans="1:20" x14ac:dyDescent="0.3">
      <c r="A61" s="124"/>
      <c r="B61" s="100"/>
      <c r="C61" s="100" t="s">
        <v>148</v>
      </c>
      <c r="D61" s="100"/>
      <c r="E61" s="100"/>
      <c r="F61" s="100"/>
      <c r="G61" s="119">
        <v>1.29</v>
      </c>
      <c r="H61" s="166">
        <f t="shared" si="6"/>
        <v>35958.75</v>
      </c>
      <c r="I61" s="120"/>
      <c r="J61" s="121"/>
      <c r="K61" s="122"/>
      <c r="L61" s="119">
        <v>5</v>
      </c>
      <c r="M61" s="166">
        <f t="shared" si="7"/>
        <v>35615</v>
      </c>
      <c r="N61" s="120"/>
      <c r="O61" s="121"/>
      <c r="P61" s="122"/>
      <c r="Q61" s="123">
        <f t="shared" si="0"/>
        <v>71573.75</v>
      </c>
      <c r="R61" s="120"/>
      <c r="S61" s="120"/>
      <c r="T61" s="121"/>
    </row>
    <row r="62" spans="1:20" x14ac:dyDescent="0.3">
      <c r="A62" s="124"/>
      <c r="B62" s="100"/>
      <c r="C62" s="129" t="s">
        <v>149</v>
      </c>
      <c r="D62" s="100"/>
      <c r="E62" s="100"/>
      <c r="F62" s="100"/>
      <c r="G62" s="119">
        <v>1.72</v>
      </c>
      <c r="H62" s="166">
        <f t="shared" si="6"/>
        <v>47945</v>
      </c>
      <c r="I62" s="120"/>
      <c r="J62" s="121"/>
      <c r="K62" s="122"/>
      <c r="L62" s="119">
        <v>0</v>
      </c>
      <c r="M62" s="166">
        <f t="shared" si="7"/>
        <v>0</v>
      </c>
      <c r="N62" s="120"/>
      <c r="O62" s="121"/>
      <c r="P62" s="122"/>
      <c r="Q62" s="123">
        <f>+H62+M62</f>
        <v>47945</v>
      </c>
      <c r="R62" s="120"/>
      <c r="S62" s="120"/>
      <c r="T62" s="121"/>
    </row>
    <row r="63" spans="1:20" x14ac:dyDescent="0.3">
      <c r="A63" s="124"/>
      <c r="B63" s="100"/>
      <c r="C63" s="129" t="s">
        <v>150</v>
      </c>
      <c r="D63" s="100"/>
      <c r="E63" s="100"/>
      <c r="F63" s="100"/>
      <c r="G63" s="119">
        <v>5.81</v>
      </c>
      <c r="H63" s="166">
        <f t="shared" si="6"/>
        <v>161953.75</v>
      </c>
      <c r="I63" s="120"/>
      <c r="J63" s="121"/>
      <c r="K63" s="122"/>
      <c r="L63" s="119">
        <v>0</v>
      </c>
      <c r="M63" s="166">
        <f t="shared" si="7"/>
        <v>0</v>
      </c>
      <c r="N63" s="120"/>
      <c r="O63" s="121"/>
      <c r="P63" s="122"/>
      <c r="Q63" s="123">
        <f>+H63+M63</f>
        <v>161953.75</v>
      </c>
      <c r="R63" s="120"/>
      <c r="S63" s="120"/>
      <c r="T63" s="121"/>
    </row>
    <row r="64" spans="1:20" x14ac:dyDescent="0.3">
      <c r="A64" s="124"/>
      <c r="B64" s="100"/>
      <c r="C64" s="129" t="s">
        <v>151</v>
      </c>
      <c r="D64" s="100"/>
      <c r="E64" s="100"/>
      <c r="F64" s="100"/>
      <c r="G64" s="119">
        <v>3.55</v>
      </c>
      <c r="H64" s="166">
        <f t="shared" si="6"/>
        <v>98956.25</v>
      </c>
      <c r="I64" s="120"/>
      <c r="J64" s="121"/>
      <c r="K64" s="122"/>
      <c r="L64" s="119">
        <v>0</v>
      </c>
      <c r="M64" s="166">
        <f t="shared" si="7"/>
        <v>0</v>
      </c>
      <c r="N64" s="120"/>
      <c r="O64" s="121"/>
      <c r="P64" s="122"/>
      <c r="Q64" s="123">
        <f t="shared" si="0"/>
        <v>98956.25</v>
      </c>
      <c r="R64" s="120"/>
      <c r="S64" s="120"/>
      <c r="T64" s="121"/>
    </row>
    <row r="65" spans="1:20" x14ac:dyDescent="0.3">
      <c r="A65" s="24"/>
      <c r="B65" s="100"/>
      <c r="C65" s="100" t="s">
        <v>152</v>
      </c>
      <c r="D65" s="100"/>
      <c r="E65" s="100"/>
      <c r="F65" s="100"/>
      <c r="G65" s="119">
        <v>0.4</v>
      </c>
      <c r="H65" s="166">
        <f t="shared" si="6"/>
        <v>11150</v>
      </c>
      <c r="I65" s="120">
        <f>SUM(H60:H65)</f>
        <v>502865</v>
      </c>
      <c r="J65" s="125">
        <f>+I65/$I$12</f>
        <v>18.04</v>
      </c>
      <c r="K65" s="126"/>
      <c r="L65" s="119">
        <v>0.4</v>
      </c>
      <c r="M65" s="166">
        <f t="shared" si="7"/>
        <v>2849.2000000000003</v>
      </c>
      <c r="N65" s="120">
        <f>SUM(M59:M65)</f>
        <v>75859.95</v>
      </c>
      <c r="O65" s="125">
        <f>+N65/$N$12</f>
        <v>10.65</v>
      </c>
      <c r="P65" s="126"/>
      <c r="Q65" s="123">
        <f t="shared" si="0"/>
        <v>13999.2</v>
      </c>
      <c r="R65" s="120">
        <f>SUM(Q59:Q65)</f>
        <v>578724.94999999995</v>
      </c>
      <c r="S65" s="127">
        <f>+R65/($I$12+$N$12)</f>
        <v>16.535943482484711</v>
      </c>
      <c r="T65" s="128">
        <f>+R65/$R$138</f>
        <v>3.8414506996436303E-2</v>
      </c>
    </row>
    <row r="66" spans="1:20" x14ac:dyDescent="0.3">
      <c r="A66" s="106" t="s">
        <v>153</v>
      </c>
      <c r="B66" s="107" t="s">
        <v>154</v>
      </c>
      <c r="C66" s="107"/>
      <c r="D66" s="107"/>
      <c r="E66" s="107"/>
      <c r="F66" s="108"/>
      <c r="G66" s="109"/>
      <c r="H66" s="110"/>
      <c r="I66" s="110"/>
      <c r="J66" s="111"/>
      <c r="K66" s="112"/>
      <c r="L66" s="113"/>
      <c r="M66" s="114"/>
      <c r="N66" s="114"/>
      <c r="O66" s="115"/>
      <c r="P66" s="112"/>
      <c r="Q66" s="113"/>
      <c r="R66" s="116"/>
      <c r="S66" s="116"/>
      <c r="T66" s="117"/>
    </row>
    <row r="67" spans="1:20" x14ac:dyDescent="0.3">
      <c r="A67" s="118"/>
      <c r="B67" s="100"/>
      <c r="C67" s="100" t="s">
        <v>155</v>
      </c>
      <c r="D67" s="100"/>
      <c r="E67" s="100"/>
      <c r="F67" s="100"/>
      <c r="G67" s="119">
        <v>19.5</v>
      </c>
      <c r="H67" s="166">
        <f t="shared" ref="H67:H74" si="8">+G67*$I$12</f>
        <v>543562.5</v>
      </c>
      <c r="I67" s="120"/>
      <c r="J67" s="121"/>
      <c r="K67" s="122"/>
      <c r="L67" s="119">
        <v>25</v>
      </c>
      <c r="M67" s="166">
        <f t="shared" ref="M67:M74" si="9">+L67*$N$12</f>
        <v>178075</v>
      </c>
      <c r="N67" s="120"/>
      <c r="O67" s="121"/>
      <c r="P67" s="122"/>
      <c r="Q67" s="123">
        <f t="shared" si="0"/>
        <v>721637.5</v>
      </c>
      <c r="R67" s="120"/>
      <c r="S67" s="120"/>
      <c r="T67" s="121"/>
    </row>
    <row r="68" spans="1:20" x14ac:dyDescent="0.3">
      <c r="A68" s="124"/>
      <c r="B68" s="100"/>
      <c r="C68" s="129" t="s">
        <v>156</v>
      </c>
      <c r="D68" s="100"/>
      <c r="E68" s="100"/>
      <c r="F68" s="100"/>
      <c r="G68" s="119">
        <v>4.49</v>
      </c>
      <c r="H68" s="166">
        <f t="shared" si="8"/>
        <v>125158.75</v>
      </c>
      <c r="I68" s="120"/>
      <c r="J68" s="121"/>
      <c r="K68" s="122"/>
      <c r="L68" s="119">
        <v>5.5</v>
      </c>
      <c r="M68" s="166">
        <f t="shared" si="9"/>
        <v>39176.5</v>
      </c>
      <c r="N68" s="120"/>
      <c r="O68" s="121"/>
      <c r="P68" s="122"/>
      <c r="Q68" s="123">
        <f t="shared" si="0"/>
        <v>164335.25</v>
      </c>
      <c r="R68" s="120"/>
      <c r="S68" s="120"/>
      <c r="T68" s="121"/>
    </row>
    <row r="69" spans="1:20" x14ac:dyDescent="0.3">
      <c r="A69" s="124"/>
      <c r="B69" s="100"/>
      <c r="C69" s="129" t="s">
        <v>157</v>
      </c>
      <c r="D69" s="100"/>
      <c r="E69" s="100"/>
      <c r="F69" s="100"/>
      <c r="G69" s="119">
        <v>2.15</v>
      </c>
      <c r="H69" s="166">
        <f t="shared" si="8"/>
        <v>59931.25</v>
      </c>
      <c r="I69" s="120"/>
      <c r="J69" s="121"/>
      <c r="K69" s="122"/>
      <c r="L69" s="119">
        <v>0</v>
      </c>
      <c r="M69" s="166">
        <f t="shared" si="9"/>
        <v>0</v>
      </c>
      <c r="N69" s="120"/>
      <c r="O69" s="121"/>
      <c r="P69" s="122"/>
      <c r="Q69" s="123">
        <f>+H69+M69</f>
        <v>59931.25</v>
      </c>
      <c r="R69" s="120"/>
      <c r="S69" s="120"/>
      <c r="T69" s="121"/>
    </row>
    <row r="70" spans="1:20" x14ac:dyDescent="0.3">
      <c r="A70" s="124"/>
      <c r="B70" s="100"/>
      <c r="C70" s="129" t="s">
        <v>158</v>
      </c>
      <c r="D70" s="100"/>
      <c r="E70" s="100"/>
      <c r="F70" s="100"/>
      <c r="G70" s="119">
        <v>8.75</v>
      </c>
      <c r="H70" s="166">
        <f t="shared" si="8"/>
        <v>243906.25</v>
      </c>
      <c r="I70" s="120"/>
      <c r="J70" s="121"/>
      <c r="K70" s="122"/>
      <c r="L70" s="119">
        <v>9.5</v>
      </c>
      <c r="M70" s="166">
        <f t="shared" si="9"/>
        <v>67668.5</v>
      </c>
      <c r="N70" s="120"/>
      <c r="O70" s="121"/>
      <c r="P70" s="122"/>
      <c r="Q70" s="123">
        <f t="shared" si="0"/>
        <v>311574.75</v>
      </c>
      <c r="R70" s="120"/>
      <c r="S70" s="120"/>
      <c r="T70" s="121"/>
    </row>
    <row r="71" spans="1:20" x14ac:dyDescent="0.3">
      <c r="A71" s="124"/>
      <c r="B71" s="100"/>
      <c r="C71" s="129" t="s">
        <v>159</v>
      </c>
      <c r="D71" s="100"/>
      <c r="E71" s="100"/>
      <c r="F71" s="100"/>
      <c r="G71" s="119">
        <v>1</v>
      </c>
      <c r="H71" s="166">
        <f t="shared" si="8"/>
        <v>27875</v>
      </c>
      <c r="I71" s="120"/>
      <c r="J71" s="121"/>
      <c r="K71" s="122"/>
      <c r="L71" s="119">
        <v>3</v>
      </c>
      <c r="M71" s="166">
        <f t="shared" si="9"/>
        <v>21369</v>
      </c>
      <c r="N71" s="120"/>
      <c r="O71" s="121"/>
      <c r="P71" s="122"/>
      <c r="Q71" s="123">
        <f t="shared" si="0"/>
        <v>49244</v>
      </c>
      <c r="R71" s="120"/>
      <c r="S71" s="120"/>
      <c r="T71" s="121"/>
    </row>
    <row r="72" spans="1:20" x14ac:dyDescent="0.3">
      <c r="A72" s="124"/>
      <c r="B72" s="100"/>
      <c r="C72" s="129" t="s">
        <v>160</v>
      </c>
      <c r="D72" s="100"/>
      <c r="E72" s="100"/>
      <c r="F72" s="100"/>
      <c r="G72" s="119">
        <v>2</v>
      </c>
      <c r="H72" s="166">
        <f t="shared" si="8"/>
        <v>55750</v>
      </c>
      <c r="I72" s="120"/>
      <c r="J72" s="121"/>
      <c r="K72" s="122"/>
      <c r="L72" s="119">
        <v>1</v>
      </c>
      <c r="M72" s="166">
        <f t="shared" si="9"/>
        <v>7123</v>
      </c>
      <c r="N72" s="120"/>
      <c r="O72" s="121"/>
      <c r="P72" s="122"/>
      <c r="Q72" s="123">
        <f t="shared" si="0"/>
        <v>62873</v>
      </c>
      <c r="R72" s="120"/>
      <c r="S72" s="120"/>
      <c r="T72" s="121"/>
    </row>
    <row r="73" spans="1:20" x14ac:dyDescent="0.3">
      <c r="A73" s="124"/>
      <c r="B73" s="100"/>
      <c r="C73" s="100" t="s">
        <v>161</v>
      </c>
      <c r="D73" s="100"/>
      <c r="E73" s="100"/>
      <c r="F73" s="100"/>
      <c r="G73" s="119">
        <v>3</v>
      </c>
      <c r="H73" s="166">
        <f t="shared" si="8"/>
        <v>83625</v>
      </c>
      <c r="I73" s="120"/>
      <c r="J73" s="121"/>
      <c r="K73" s="122"/>
      <c r="L73" s="119">
        <v>3.35</v>
      </c>
      <c r="M73" s="166">
        <f t="shared" si="9"/>
        <v>23862.05</v>
      </c>
      <c r="N73" s="120"/>
      <c r="O73" s="121"/>
      <c r="P73" s="122"/>
      <c r="Q73" s="123">
        <f t="shared" si="0"/>
        <v>107487.05</v>
      </c>
      <c r="R73" s="120"/>
      <c r="S73" s="120"/>
      <c r="T73" s="121"/>
    </row>
    <row r="74" spans="1:20" x14ac:dyDescent="0.3">
      <c r="A74" s="24"/>
      <c r="B74" s="100"/>
      <c r="C74" s="100" t="s">
        <v>162</v>
      </c>
      <c r="D74" s="100"/>
      <c r="E74" s="100"/>
      <c r="F74" s="100"/>
      <c r="G74" s="119">
        <v>0.5</v>
      </c>
      <c r="H74" s="166">
        <f t="shared" si="8"/>
        <v>13937.5</v>
      </c>
      <c r="I74" s="120">
        <f>SUM(H67:H74)</f>
        <v>1153746.25</v>
      </c>
      <c r="J74" s="125">
        <f>+I74/$I$12</f>
        <v>41.39</v>
      </c>
      <c r="K74" s="126"/>
      <c r="L74" s="119">
        <v>0</v>
      </c>
      <c r="M74" s="166">
        <f t="shared" si="9"/>
        <v>0</v>
      </c>
      <c r="N74" s="120">
        <f>SUM(M66:M74)</f>
        <v>337274.05</v>
      </c>
      <c r="O74" s="125">
        <f>+N74/$N$12</f>
        <v>47.35</v>
      </c>
      <c r="P74" s="126"/>
      <c r="Q74" s="123">
        <f t="shared" si="0"/>
        <v>13937.5</v>
      </c>
      <c r="R74" s="120">
        <f>SUM(Q66:Q74)</f>
        <v>1491020.3</v>
      </c>
      <c r="S74" s="127">
        <f>+R74/($I$12+$N$12)</f>
        <v>42.603014457969032</v>
      </c>
      <c r="T74" s="128">
        <f>+R74/$R$138</f>
        <v>9.8970693670937401E-2</v>
      </c>
    </row>
    <row r="75" spans="1:20" x14ac:dyDescent="0.3">
      <c r="A75" s="106" t="s">
        <v>163</v>
      </c>
      <c r="B75" s="107" t="s">
        <v>164</v>
      </c>
      <c r="C75" s="107"/>
      <c r="D75" s="107"/>
      <c r="E75" s="107"/>
      <c r="F75" s="108"/>
      <c r="G75" s="109"/>
      <c r="H75" s="110"/>
      <c r="I75" s="110"/>
      <c r="J75" s="111"/>
      <c r="K75" s="112"/>
      <c r="L75" s="113"/>
      <c r="M75" s="114"/>
      <c r="N75" s="114"/>
      <c r="O75" s="115"/>
      <c r="P75" s="112"/>
      <c r="Q75" s="113"/>
      <c r="R75" s="116"/>
      <c r="S75" s="116"/>
      <c r="T75" s="117"/>
    </row>
    <row r="76" spans="1:20" x14ac:dyDescent="0.3">
      <c r="A76" s="118"/>
      <c r="B76" s="100"/>
      <c r="C76" s="100" t="s">
        <v>165</v>
      </c>
      <c r="D76" s="100"/>
      <c r="E76" s="100"/>
      <c r="F76" s="100"/>
      <c r="G76" s="119">
        <v>2</v>
      </c>
      <c r="H76" s="166">
        <f>+G76*$I$12</f>
        <v>55750</v>
      </c>
      <c r="I76" s="120"/>
      <c r="J76" s="121"/>
      <c r="K76" s="122"/>
      <c r="L76" s="119">
        <v>5</v>
      </c>
      <c r="M76" s="166">
        <f>+L76*$N$12</f>
        <v>35615</v>
      </c>
      <c r="N76" s="120"/>
      <c r="O76" s="121"/>
      <c r="P76" s="122"/>
      <c r="Q76" s="123">
        <f t="shared" si="0"/>
        <v>91365</v>
      </c>
      <c r="R76" s="120"/>
      <c r="S76" s="120"/>
      <c r="T76" s="121"/>
    </row>
    <row r="77" spans="1:20" x14ac:dyDescent="0.3">
      <c r="A77" s="124"/>
      <c r="B77" s="100"/>
      <c r="C77" s="100" t="s">
        <v>166</v>
      </c>
      <c r="D77" s="100"/>
      <c r="E77" s="100"/>
      <c r="F77" s="100"/>
      <c r="G77" s="119">
        <v>1</v>
      </c>
      <c r="H77" s="166">
        <f>+G77*$I$12</f>
        <v>27875</v>
      </c>
      <c r="I77" s="120"/>
      <c r="J77" s="121"/>
      <c r="K77" s="122"/>
      <c r="L77" s="119">
        <v>2</v>
      </c>
      <c r="M77" s="166">
        <f>+L77*$N$12</f>
        <v>14246</v>
      </c>
      <c r="N77" s="120"/>
      <c r="O77" s="121"/>
      <c r="P77" s="122"/>
      <c r="Q77" s="123">
        <f t="shared" si="0"/>
        <v>42121</v>
      </c>
      <c r="R77" s="120"/>
      <c r="S77" s="120"/>
      <c r="T77" s="121"/>
    </row>
    <row r="78" spans="1:20" x14ac:dyDescent="0.3">
      <c r="A78" s="24"/>
      <c r="B78" s="100"/>
      <c r="C78" s="100" t="s">
        <v>167</v>
      </c>
      <c r="D78" s="100"/>
      <c r="E78" s="100"/>
      <c r="F78" s="100"/>
      <c r="G78" s="119">
        <v>0.5</v>
      </c>
      <c r="H78" s="166">
        <f>+G78*$I$12</f>
        <v>13937.5</v>
      </c>
      <c r="I78" s="120">
        <f>SUM(H76:H78)</f>
        <v>97562.5</v>
      </c>
      <c r="J78" s="125">
        <f>+I78/$I$12</f>
        <v>3.5</v>
      </c>
      <c r="K78" s="126"/>
      <c r="L78" s="119">
        <v>0.75</v>
      </c>
      <c r="M78" s="166">
        <f>+L78*$N$12</f>
        <v>5342.25</v>
      </c>
      <c r="N78" s="120">
        <f>SUM(M76:M78)</f>
        <v>55203.25</v>
      </c>
      <c r="O78" s="125">
        <f>+N78/$N$12</f>
        <v>7.75</v>
      </c>
      <c r="P78" s="126"/>
      <c r="Q78" s="123">
        <f t="shared" si="0"/>
        <v>19279.75</v>
      </c>
      <c r="R78" s="120">
        <f>SUM(Q75:Q78)</f>
        <v>152765.75</v>
      </c>
      <c r="S78" s="127">
        <f>+R78/($I$12+$N$12)</f>
        <v>4.3649851420081145</v>
      </c>
      <c r="T78" s="128">
        <f>+R78/$R$138</f>
        <v>1.0140259154527275E-2</v>
      </c>
    </row>
    <row r="79" spans="1:20" x14ac:dyDescent="0.3">
      <c r="A79" s="106" t="s">
        <v>168</v>
      </c>
      <c r="B79" s="107" t="s">
        <v>169</v>
      </c>
      <c r="C79" s="107"/>
      <c r="D79" s="107"/>
      <c r="E79" s="107"/>
      <c r="F79" s="108"/>
      <c r="G79" s="132" t="s">
        <v>170</v>
      </c>
      <c r="H79" s="110"/>
      <c r="I79" s="110"/>
      <c r="J79" s="111"/>
      <c r="K79" s="112"/>
      <c r="L79" s="132" t="s">
        <v>170</v>
      </c>
      <c r="M79" s="114"/>
      <c r="N79" s="114"/>
      <c r="O79" s="115"/>
      <c r="P79" s="112"/>
      <c r="Q79" s="113"/>
      <c r="R79" s="114"/>
      <c r="S79" s="114"/>
      <c r="T79" s="133"/>
    </row>
    <row r="80" spans="1:20" x14ac:dyDescent="0.3">
      <c r="A80" s="106" t="s">
        <v>171</v>
      </c>
      <c r="B80" s="107" t="s">
        <v>172</v>
      </c>
      <c r="C80" s="107"/>
      <c r="D80" s="107"/>
      <c r="E80" s="107"/>
      <c r="F80" s="108"/>
      <c r="G80" s="132" t="s">
        <v>170</v>
      </c>
      <c r="H80" s="110"/>
      <c r="I80" s="110"/>
      <c r="J80" s="111"/>
      <c r="K80" s="112"/>
      <c r="L80" s="132" t="s">
        <v>170</v>
      </c>
      <c r="M80" s="114"/>
      <c r="N80" s="114"/>
      <c r="O80" s="115"/>
      <c r="P80" s="112"/>
      <c r="Q80" s="113"/>
      <c r="R80" s="114"/>
      <c r="S80" s="114"/>
      <c r="T80" s="133"/>
    </row>
    <row r="81" spans="1:20" x14ac:dyDescent="0.3">
      <c r="A81" s="106" t="s">
        <v>173</v>
      </c>
      <c r="B81" s="107" t="s">
        <v>174</v>
      </c>
      <c r="C81" s="107"/>
      <c r="D81" s="107"/>
      <c r="E81" s="107"/>
      <c r="F81" s="108"/>
      <c r="G81" s="132" t="s">
        <v>170</v>
      </c>
      <c r="H81" s="110"/>
      <c r="I81" s="110"/>
      <c r="J81" s="111"/>
      <c r="K81" s="112"/>
      <c r="L81" s="132" t="s">
        <v>170</v>
      </c>
      <c r="M81" s="114"/>
      <c r="N81" s="114"/>
      <c r="O81" s="115"/>
      <c r="P81" s="112"/>
      <c r="Q81" s="113"/>
      <c r="R81" s="114"/>
      <c r="S81" s="114"/>
      <c r="T81" s="133"/>
    </row>
    <row r="82" spans="1:20" x14ac:dyDescent="0.3">
      <c r="A82" s="106" t="s">
        <v>175</v>
      </c>
      <c r="B82" s="107" t="s">
        <v>176</v>
      </c>
      <c r="C82" s="107"/>
      <c r="D82" s="107"/>
      <c r="E82" s="107"/>
      <c r="F82" s="108"/>
      <c r="G82" s="132" t="s">
        <v>170</v>
      </c>
      <c r="H82" s="110"/>
      <c r="I82" s="110"/>
      <c r="J82" s="111"/>
      <c r="K82" s="112"/>
      <c r="L82" s="132" t="s">
        <v>170</v>
      </c>
      <c r="M82" s="114"/>
      <c r="N82" s="114"/>
      <c r="O82" s="115"/>
      <c r="P82" s="112"/>
      <c r="Q82" s="113"/>
      <c r="R82" s="114"/>
      <c r="S82" s="114"/>
      <c r="T82" s="133"/>
    </row>
    <row r="83" spans="1:20" x14ac:dyDescent="0.3">
      <c r="A83" s="118"/>
      <c r="B83" s="100"/>
      <c r="C83" s="129" t="s">
        <v>177</v>
      </c>
      <c r="D83" s="100"/>
      <c r="E83" s="134" t="s">
        <v>178</v>
      </c>
      <c r="F83" s="100"/>
      <c r="G83" s="119">
        <v>5</v>
      </c>
      <c r="H83" s="166">
        <f>+G83*$I$12</f>
        <v>139375</v>
      </c>
      <c r="I83" s="120"/>
      <c r="J83" s="121"/>
      <c r="K83" s="122"/>
      <c r="L83" s="119">
        <v>0</v>
      </c>
      <c r="M83" s="120">
        <f>+L83*$N$12</f>
        <v>0</v>
      </c>
      <c r="N83" s="120"/>
      <c r="O83" s="121"/>
      <c r="P83" s="122"/>
      <c r="Q83" s="123">
        <f>+H83+M83</f>
        <v>139375</v>
      </c>
      <c r="R83" s="120"/>
      <c r="S83" s="120"/>
      <c r="T83" s="121"/>
    </row>
    <row r="84" spans="1:20" x14ac:dyDescent="0.3">
      <c r="A84" s="124"/>
      <c r="B84" s="100"/>
      <c r="C84" s="129" t="s">
        <v>177</v>
      </c>
      <c r="D84" s="100"/>
      <c r="E84" s="134" t="s">
        <v>178</v>
      </c>
      <c r="F84" s="100"/>
      <c r="G84" s="119">
        <v>5</v>
      </c>
      <c r="H84" s="166">
        <f>+G84*$I$12</f>
        <v>139375</v>
      </c>
      <c r="I84" s="120"/>
      <c r="J84" s="121"/>
      <c r="K84" s="122"/>
      <c r="L84" s="119">
        <v>0</v>
      </c>
      <c r="M84" s="120">
        <f>+L84*$N$12</f>
        <v>0</v>
      </c>
      <c r="N84" s="120"/>
      <c r="O84" s="121"/>
      <c r="P84" s="122"/>
      <c r="Q84" s="123">
        <f>+H84+M84</f>
        <v>139375</v>
      </c>
      <c r="R84" s="120"/>
      <c r="S84" s="120"/>
      <c r="T84" s="121"/>
    </row>
    <row r="85" spans="1:20" x14ac:dyDescent="0.3">
      <c r="A85" s="124"/>
      <c r="B85" s="100"/>
      <c r="C85" s="129" t="s">
        <v>179</v>
      </c>
      <c r="D85" s="100"/>
      <c r="E85" s="134" t="s">
        <v>180</v>
      </c>
      <c r="F85" s="100"/>
      <c r="G85" s="119">
        <v>2.75</v>
      </c>
      <c r="H85" s="166">
        <f>+G85*$I$12</f>
        <v>76656.25</v>
      </c>
      <c r="I85" s="120"/>
      <c r="J85" s="121"/>
      <c r="K85" s="122"/>
      <c r="L85" s="119">
        <v>0</v>
      </c>
      <c r="M85" s="120">
        <f>+L85*$N$12</f>
        <v>0</v>
      </c>
      <c r="N85" s="120"/>
      <c r="O85" s="121"/>
      <c r="P85" s="122"/>
      <c r="Q85" s="123">
        <f>+H85+M85</f>
        <v>76656.25</v>
      </c>
      <c r="R85" s="120"/>
      <c r="S85" s="120"/>
      <c r="T85" s="121"/>
    </row>
    <row r="86" spans="1:20" x14ac:dyDescent="0.3">
      <c r="A86" s="124"/>
      <c r="B86" s="100"/>
      <c r="C86" s="129" t="s">
        <v>179</v>
      </c>
      <c r="D86" s="100"/>
      <c r="E86" s="134" t="s">
        <v>180</v>
      </c>
      <c r="F86" s="100"/>
      <c r="G86" s="119">
        <v>2.75</v>
      </c>
      <c r="H86" s="166">
        <f>+G86*$I$12</f>
        <v>76656.25</v>
      </c>
      <c r="I86" s="120">
        <f>SUM(H83:H86)</f>
        <v>432062.5</v>
      </c>
      <c r="J86" s="125">
        <f>+I86/$I$12</f>
        <v>15.5</v>
      </c>
      <c r="K86" s="126"/>
      <c r="L86" s="119">
        <v>0</v>
      </c>
      <c r="M86" s="120">
        <f>+L86*$N$12</f>
        <v>0</v>
      </c>
      <c r="N86" s="120">
        <f>SUM(M83:M86)</f>
        <v>0</v>
      </c>
      <c r="O86" s="125">
        <f>+N86/$N$12</f>
        <v>0</v>
      </c>
      <c r="P86" s="126"/>
      <c r="Q86" s="123">
        <f>+H86+M86</f>
        <v>76656.25</v>
      </c>
      <c r="R86" s="120">
        <f>SUM(Q82:Q86)</f>
        <v>432062.5</v>
      </c>
      <c r="S86" s="127">
        <f>+R86/($I$12+$N$12)</f>
        <v>12.345348305617463</v>
      </c>
      <c r="T86" s="128">
        <f>+R86/$R$138</f>
        <v>2.8679371658588009E-2</v>
      </c>
    </row>
    <row r="87" spans="1:20" x14ac:dyDescent="0.3">
      <c r="A87" s="106" t="s">
        <v>181</v>
      </c>
      <c r="B87" s="107" t="s">
        <v>25</v>
      </c>
      <c r="C87" s="107"/>
      <c r="D87" s="107"/>
      <c r="E87" s="107"/>
      <c r="F87" s="108"/>
      <c r="G87" s="132"/>
      <c r="H87" s="110"/>
      <c r="I87" s="110"/>
      <c r="J87" s="111"/>
      <c r="K87" s="112"/>
      <c r="L87" s="132"/>
      <c r="M87" s="114"/>
      <c r="N87" s="114"/>
      <c r="O87" s="115"/>
      <c r="P87" s="112"/>
      <c r="Q87" s="113"/>
      <c r="R87" s="114"/>
      <c r="S87" s="114"/>
      <c r="T87" s="133"/>
    </row>
    <row r="88" spans="1:20" x14ac:dyDescent="0.3">
      <c r="A88" s="118"/>
      <c r="B88" s="100"/>
      <c r="C88" s="129" t="s">
        <v>182</v>
      </c>
      <c r="D88" s="100"/>
      <c r="E88" s="100"/>
      <c r="F88" s="100"/>
      <c r="G88" s="119">
        <v>4.5</v>
      </c>
      <c r="H88" s="166">
        <f>+G88*$I$12</f>
        <v>125437.5</v>
      </c>
      <c r="I88" s="120"/>
      <c r="J88" s="121"/>
      <c r="K88" s="122"/>
      <c r="L88" s="119">
        <v>5</v>
      </c>
      <c r="M88" s="120">
        <f>+L88*$N$12</f>
        <v>35615</v>
      </c>
      <c r="N88" s="120"/>
      <c r="O88" s="121"/>
      <c r="P88" s="122"/>
      <c r="Q88" s="123">
        <f>+H88+M88</f>
        <v>161052.5</v>
      </c>
      <c r="R88" s="120"/>
      <c r="S88" s="120"/>
      <c r="T88" s="121"/>
    </row>
    <row r="89" spans="1:20" x14ac:dyDescent="0.3">
      <c r="A89" s="124"/>
      <c r="B89" s="100"/>
      <c r="C89" s="129" t="s">
        <v>183</v>
      </c>
      <c r="D89" s="100"/>
      <c r="E89" s="100"/>
      <c r="F89" s="100"/>
      <c r="G89" s="119">
        <v>1</v>
      </c>
      <c r="H89" s="166">
        <f>+G89*$I$12</f>
        <v>27875</v>
      </c>
      <c r="I89" s="120"/>
      <c r="J89" s="121"/>
      <c r="K89" s="122"/>
      <c r="L89" s="119">
        <v>0</v>
      </c>
      <c r="M89" s="120">
        <f>+L89*$N$12</f>
        <v>0</v>
      </c>
      <c r="N89" s="120"/>
      <c r="O89" s="121"/>
      <c r="P89" s="122"/>
      <c r="Q89" s="123">
        <f>+H89+M89</f>
        <v>27875</v>
      </c>
      <c r="R89" s="120"/>
      <c r="S89" s="120"/>
      <c r="T89" s="121"/>
    </row>
    <row r="90" spans="1:20" x14ac:dyDescent="0.3">
      <c r="A90" s="124"/>
      <c r="B90" s="100"/>
      <c r="C90" s="129" t="s">
        <v>184</v>
      </c>
      <c r="D90" s="100"/>
      <c r="E90" s="100"/>
      <c r="F90" s="100"/>
      <c r="G90" s="119">
        <v>0.5</v>
      </c>
      <c r="H90" s="166">
        <f>+G90*$I$12</f>
        <v>13937.5</v>
      </c>
      <c r="I90" s="120"/>
      <c r="J90" s="121"/>
      <c r="K90" s="122"/>
      <c r="L90" s="119">
        <v>0</v>
      </c>
      <c r="M90" s="120">
        <f>+L90*$N$12</f>
        <v>0</v>
      </c>
      <c r="N90" s="120"/>
      <c r="O90" s="121"/>
      <c r="P90" s="122"/>
      <c r="Q90" s="123">
        <f>+H90+M90</f>
        <v>13937.5</v>
      </c>
      <c r="R90" s="120"/>
      <c r="S90" s="120"/>
      <c r="T90" s="121"/>
    </row>
    <row r="91" spans="1:20" x14ac:dyDescent="0.3">
      <c r="A91" s="124"/>
      <c r="B91" s="100"/>
      <c r="C91" s="129" t="s">
        <v>185</v>
      </c>
      <c r="D91" s="100"/>
      <c r="E91" s="100"/>
      <c r="F91" s="100"/>
      <c r="G91" s="119">
        <v>0.5</v>
      </c>
      <c r="H91" s="166">
        <f>+G91*$I$12</f>
        <v>13937.5</v>
      </c>
      <c r="I91" s="120"/>
      <c r="J91" s="121"/>
      <c r="K91" s="122"/>
      <c r="L91" s="119">
        <v>0</v>
      </c>
      <c r="M91" s="120">
        <f>+L91*$N$12</f>
        <v>0</v>
      </c>
      <c r="N91" s="120"/>
      <c r="O91" s="121"/>
      <c r="P91" s="122"/>
      <c r="Q91" s="123">
        <f>+H91+M91</f>
        <v>13937.5</v>
      </c>
      <c r="R91" s="120"/>
      <c r="S91" s="120"/>
      <c r="T91" s="121"/>
    </row>
    <row r="92" spans="1:20" x14ac:dyDescent="0.3">
      <c r="A92" s="24"/>
      <c r="B92" s="100"/>
      <c r="C92" s="129" t="s">
        <v>186</v>
      </c>
      <c r="D92" s="100"/>
      <c r="E92" s="100"/>
      <c r="F92" s="100"/>
      <c r="G92" s="119">
        <v>0</v>
      </c>
      <c r="H92" s="166">
        <f>+G92*$I$12</f>
        <v>0</v>
      </c>
      <c r="I92" s="120">
        <f>SUM(H88:H92)</f>
        <v>181187.5</v>
      </c>
      <c r="J92" s="125">
        <f>+I92/$I$12</f>
        <v>6.5</v>
      </c>
      <c r="K92" s="126"/>
      <c r="L92" s="119">
        <v>0.5</v>
      </c>
      <c r="M92" s="120">
        <f>+L92*$N$12</f>
        <v>3561.5</v>
      </c>
      <c r="N92" s="120">
        <f>SUM(M87:M92)</f>
        <v>39176.5</v>
      </c>
      <c r="O92" s="125">
        <f>+N92/$N$12</f>
        <v>5.5</v>
      </c>
      <c r="P92" s="126"/>
      <c r="Q92" s="123">
        <f>+H92+M92</f>
        <v>3561.5</v>
      </c>
      <c r="R92" s="120">
        <f>SUM(Q87:Q92)</f>
        <v>220364</v>
      </c>
      <c r="S92" s="127">
        <f>+R92/($I$12+$N$12)</f>
        <v>6.2964740842333846</v>
      </c>
      <c r="T92" s="128">
        <f>+R92/$R$138</f>
        <v>1.4627284377082222E-2</v>
      </c>
    </row>
    <row r="93" spans="1:20" x14ac:dyDescent="0.3">
      <c r="A93" s="106" t="s">
        <v>187</v>
      </c>
      <c r="B93" s="107" t="s">
        <v>27</v>
      </c>
      <c r="C93" s="107"/>
      <c r="D93" s="107"/>
      <c r="E93" s="107"/>
      <c r="F93" s="108"/>
      <c r="G93" s="132"/>
      <c r="H93" s="110"/>
      <c r="I93" s="110"/>
      <c r="J93" s="111"/>
      <c r="K93" s="112"/>
      <c r="L93" s="132"/>
      <c r="M93" s="114"/>
      <c r="N93" s="114"/>
      <c r="O93" s="115"/>
      <c r="P93" s="112"/>
      <c r="Q93" s="113"/>
      <c r="R93" s="114"/>
      <c r="S93" s="114"/>
      <c r="T93" s="133"/>
    </row>
    <row r="94" spans="1:20" x14ac:dyDescent="0.3">
      <c r="A94" s="118"/>
      <c r="B94" s="100"/>
      <c r="C94" s="129" t="s">
        <v>188</v>
      </c>
      <c r="D94" s="100"/>
      <c r="E94" s="100"/>
      <c r="F94" s="100"/>
      <c r="G94" s="119">
        <v>13.82</v>
      </c>
      <c r="H94" s="166">
        <f t="shared" ref="H94:H113" si="10">+G94*$I$12</f>
        <v>385232.5</v>
      </c>
      <c r="I94" s="120"/>
      <c r="J94" s="121"/>
      <c r="K94" s="122"/>
      <c r="L94" s="119">
        <v>12</v>
      </c>
      <c r="M94" s="120">
        <f t="shared" ref="M94:M102" si="11">+L94*$N$12</f>
        <v>85476</v>
      </c>
      <c r="N94" s="120"/>
      <c r="O94" s="121"/>
      <c r="P94" s="122"/>
      <c r="Q94" s="123">
        <f t="shared" si="0"/>
        <v>470708.5</v>
      </c>
      <c r="R94" s="120"/>
      <c r="S94" s="120"/>
      <c r="T94" s="121"/>
    </row>
    <row r="95" spans="1:20" x14ac:dyDescent="0.3">
      <c r="A95" s="135"/>
      <c r="B95" s="100"/>
      <c r="C95" s="129" t="s">
        <v>189</v>
      </c>
      <c r="D95" s="100"/>
      <c r="E95" s="100"/>
      <c r="F95" s="100"/>
      <c r="G95" s="119">
        <v>6.18</v>
      </c>
      <c r="H95" s="166">
        <f t="shared" si="10"/>
        <v>172267.5</v>
      </c>
      <c r="I95" s="120"/>
      <c r="J95" s="121"/>
      <c r="K95" s="122"/>
      <c r="L95" s="119">
        <v>0</v>
      </c>
      <c r="M95" s="120">
        <f t="shared" si="11"/>
        <v>0</v>
      </c>
      <c r="N95" s="120"/>
      <c r="O95" s="121"/>
      <c r="P95" s="122"/>
      <c r="Q95" s="123">
        <f t="shared" si="0"/>
        <v>172267.5</v>
      </c>
      <c r="R95" s="120"/>
      <c r="S95" s="120"/>
      <c r="T95" s="121"/>
    </row>
    <row r="96" spans="1:20" x14ac:dyDescent="0.3">
      <c r="A96" s="124"/>
      <c r="B96" s="100"/>
      <c r="C96" s="129" t="s">
        <v>190</v>
      </c>
      <c r="D96" s="100"/>
      <c r="E96" s="100"/>
      <c r="F96" s="100"/>
      <c r="G96" s="119">
        <v>12</v>
      </c>
      <c r="H96" s="166">
        <f t="shared" si="10"/>
        <v>334500</v>
      </c>
      <c r="I96" s="120"/>
      <c r="J96" s="121"/>
      <c r="K96" s="122"/>
      <c r="L96" s="119">
        <v>10</v>
      </c>
      <c r="M96" s="120">
        <f t="shared" si="11"/>
        <v>71230</v>
      </c>
      <c r="N96" s="120"/>
      <c r="O96" s="121"/>
      <c r="P96" s="122"/>
      <c r="Q96" s="123">
        <f t="shared" si="0"/>
        <v>405730</v>
      </c>
      <c r="R96" s="120"/>
      <c r="S96" s="120"/>
      <c r="T96" s="121"/>
    </row>
    <row r="97" spans="1:20" x14ac:dyDescent="0.3">
      <c r="A97" s="124"/>
      <c r="B97" s="100"/>
      <c r="C97" s="129"/>
      <c r="D97" s="129" t="s">
        <v>191</v>
      </c>
      <c r="E97" s="100"/>
      <c r="F97" s="100" t="s">
        <v>192</v>
      </c>
      <c r="G97" s="119">
        <v>0</v>
      </c>
      <c r="H97" s="166">
        <f>+G97*$I$12</f>
        <v>0</v>
      </c>
      <c r="I97" s="120"/>
      <c r="J97" s="121"/>
      <c r="K97" s="122"/>
      <c r="L97" s="119">
        <v>0</v>
      </c>
      <c r="M97" s="120">
        <f t="shared" si="11"/>
        <v>0</v>
      </c>
      <c r="N97" s="120"/>
      <c r="O97" s="121"/>
      <c r="P97" s="122"/>
      <c r="Q97" s="123">
        <f t="shared" si="0"/>
        <v>0</v>
      </c>
      <c r="R97" s="120"/>
      <c r="S97" s="120"/>
      <c r="T97" s="121"/>
    </row>
    <row r="98" spans="1:20" x14ac:dyDescent="0.3">
      <c r="A98" s="124"/>
      <c r="B98" s="100"/>
      <c r="C98" s="129"/>
      <c r="D98" s="100" t="s">
        <v>193</v>
      </c>
      <c r="E98" s="100"/>
      <c r="F98" s="100" t="s">
        <v>192</v>
      </c>
      <c r="G98" s="119">
        <v>0</v>
      </c>
      <c r="H98" s="166">
        <f>+G98*$I$12</f>
        <v>0</v>
      </c>
      <c r="I98" s="120"/>
      <c r="J98" s="121"/>
      <c r="K98" s="122"/>
      <c r="L98" s="119">
        <v>0</v>
      </c>
      <c r="M98" s="120">
        <f t="shared" si="11"/>
        <v>0</v>
      </c>
      <c r="N98" s="120"/>
      <c r="O98" s="121"/>
      <c r="P98" s="122"/>
      <c r="Q98" s="123">
        <f t="shared" si="0"/>
        <v>0</v>
      </c>
      <c r="R98" s="120"/>
      <c r="S98" s="120"/>
      <c r="T98" s="121"/>
    </row>
    <row r="99" spans="1:20" x14ac:dyDescent="0.3">
      <c r="A99" s="124"/>
      <c r="B99" s="100"/>
      <c r="C99" s="129"/>
      <c r="D99" s="100" t="s">
        <v>194</v>
      </c>
      <c r="E99" s="100"/>
      <c r="F99" s="100" t="s">
        <v>192</v>
      </c>
      <c r="G99" s="119">
        <v>0</v>
      </c>
      <c r="H99" s="166">
        <f>+G99*$I$12</f>
        <v>0</v>
      </c>
      <c r="I99" s="120"/>
      <c r="J99" s="121"/>
      <c r="K99" s="122"/>
      <c r="L99" s="119">
        <v>0</v>
      </c>
      <c r="M99" s="120">
        <f t="shared" si="11"/>
        <v>0</v>
      </c>
      <c r="N99" s="120"/>
      <c r="O99" s="121"/>
      <c r="P99" s="122"/>
      <c r="Q99" s="123">
        <f t="shared" si="0"/>
        <v>0</v>
      </c>
      <c r="R99" s="120"/>
      <c r="S99" s="120"/>
      <c r="T99" s="121"/>
    </row>
    <row r="100" spans="1:20" x14ac:dyDescent="0.3">
      <c r="A100" s="124"/>
      <c r="B100" s="100"/>
      <c r="C100" s="129"/>
      <c r="D100" s="100" t="s">
        <v>195</v>
      </c>
      <c r="E100" s="100"/>
      <c r="F100" s="100" t="s">
        <v>192</v>
      </c>
      <c r="G100" s="119">
        <v>0</v>
      </c>
      <c r="H100" s="166">
        <f>+G100*$I$12</f>
        <v>0</v>
      </c>
      <c r="I100" s="120"/>
      <c r="J100" s="121"/>
      <c r="K100" s="122"/>
      <c r="L100" s="119">
        <v>0</v>
      </c>
      <c r="M100" s="120">
        <f t="shared" si="11"/>
        <v>0</v>
      </c>
      <c r="N100" s="120"/>
      <c r="O100" s="121"/>
      <c r="P100" s="122"/>
      <c r="Q100" s="123">
        <f t="shared" si="0"/>
        <v>0</v>
      </c>
      <c r="R100" s="120"/>
      <c r="S100" s="120"/>
      <c r="T100" s="121"/>
    </row>
    <row r="101" spans="1:20" x14ac:dyDescent="0.3">
      <c r="A101" s="124"/>
      <c r="B101" s="100"/>
      <c r="C101" s="129"/>
      <c r="D101" s="100" t="s">
        <v>196</v>
      </c>
      <c r="E101" s="100"/>
      <c r="F101" s="100"/>
      <c r="G101" s="119">
        <v>0.6</v>
      </c>
      <c r="H101" s="166">
        <f>+G101*$I$12</f>
        <v>16725</v>
      </c>
      <c r="I101" s="120"/>
      <c r="J101" s="121"/>
      <c r="K101" s="122"/>
      <c r="L101" s="119">
        <v>0</v>
      </c>
      <c r="M101" s="120">
        <f>+L101*$N$12</f>
        <v>0</v>
      </c>
      <c r="N101" s="120"/>
      <c r="O101" s="121"/>
      <c r="P101" s="122"/>
      <c r="Q101" s="123">
        <f>+H101+M101</f>
        <v>16725</v>
      </c>
      <c r="R101" s="120"/>
      <c r="S101" s="120"/>
      <c r="T101" s="121"/>
    </row>
    <row r="102" spans="1:20" x14ac:dyDescent="0.3">
      <c r="A102" s="124"/>
      <c r="B102" s="100"/>
      <c r="C102" s="129" t="s">
        <v>197</v>
      </c>
      <c r="D102" s="100"/>
      <c r="E102" s="100"/>
      <c r="F102" s="100"/>
      <c r="G102" s="119">
        <v>2.25</v>
      </c>
      <c r="H102" s="166">
        <f t="shared" si="10"/>
        <v>62718.75</v>
      </c>
      <c r="I102" s="120">
        <f>SUM(H94:H102)</f>
        <v>971443.75</v>
      </c>
      <c r="J102" s="125">
        <f>+I102/$I$12</f>
        <v>34.85</v>
      </c>
      <c r="K102" s="122"/>
      <c r="L102" s="119">
        <v>0</v>
      </c>
      <c r="M102" s="120">
        <f t="shared" si="11"/>
        <v>0</v>
      </c>
      <c r="N102" s="120">
        <f>SUM(M94:M102)</f>
        <v>156706</v>
      </c>
      <c r="O102" s="125">
        <f>+N102/$N$12</f>
        <v>22</v>
      </c>
      <c r="P102" s="122"/>
      <c r="Q102" s="123">
        <f>+H102+M102</f>
        <v>62718.75</v>
      </c>
      <c r="R102" s="120">
        <f>SUM(Q94:Q102)</f>
        <v>1128149.75</v>
      </c>
      <c r="S102" s="127">
        <f>+R102/($I$12+$N$12)</f>
        <v>32.234691982398992</v>
      </c>
      <c r="T102" s="128">
        <f>+R102/$R$138</f>
        <v>7.4884133584361398E-2</v>
      </c>
    </row>
    <row r="103" spans="1:20" x14ac:dyDescent="0.3">
      <c r="A103" s="106" t="s">
        <v>198</v>
      </c>
      <c r="B103" s="107" t="s">
        <v>29</v>
      </c>
      <c r="C103" s="107"/>
      <c r="D103" s="107"/>
      <c r="E103" s="107"/>
      <c r="F103" s="108"/>
      <c r="G103" s="132"/>
      <c r="H103" s="110"/>
      <c r="I103" s="110"/>
      <c r="J103" s="111"/>
      <c r="K103" s="112"/>
      <c r="L103" s="132"/>
      <c r="M103" s="114"/>
      <c r="N103" s="114"/>
      <c r="O103" s="115"/>
      <c r="P103" s="112"/>
      <c r="Q103" s="113"/>
      <c r="R103" s="114"/>
      <c r="S103" s="114"/>
      <c r="T103" s="133"/>
    </row>
    <row r="104" spans="1:20" x14ac:dyDescent="0.3">
      <c r="A104" s="118"/>
      <c r="B104" s="100"/>
      <c r="C104" s="100" t="s">
        <v>199</v>
      </c>
      <c r="D104" s="100"/>
      <c r="E104" s="100"/>
      <c r="F104" s="100"/>
      <c r="G104" s="119">
        <v>39.69</v>
      </c>
      <c r="H104" s="166">
        <f t="shared" si="10"/>
        <v>1106358.75</v>
      </c>
      <c r="I104" s="120"/>
      <c r="J104" s="121"/>
      <c r="K104" s="122"/>
      <c r="L104" s="119">
        <v>55</v>
      </c>
      <c r="M104" s="120">
        <f t="shared" ref="M104:M113" si="12">+L104*$N$12</f>
        <v>391765</v>
      </c>
      <c r="N104" s="120"/>
      <c r="O104" s="121"/>
      <c r="P104" s="122"/>
      <c r="Q104" s="123">
        <f t="shared" ref="Q104:Q113" si="13">+H104+M104</f>
        <v>1498123.75</v>
      </c>
      <c r="R104" s="120"/>
      <c r="S104" s="120"/>
      <c r="T104" s="121"/>
    </row>
    <row r="105" spans="1:20" x14ac:dyDescent="0.3">
      <c r="A105" s="124"/>
      <c r="B105" s="100"/>
      <c r="C105" s="100" t="s">
        <v>200</v>
      </c>
      <c r="D105" s="100"/>
      <c r="E105" s="100"/>
      <c r="F105" s="100"/>
      <c r="G105" s="119">
        <v>20.3</v>
      </c>
      <c r="H105" s="166">
        <f t="shared" si="10"/>
        <v>565862.5</v>
      </c>
      <c r="I105" s="120"/>
      <c r="J105" s="121"/>
      <c r="K105" s="122"/>
      <c r="L105" s="119">
        <v>0</v>
      </c>
      <c r="M105" s="120">
        <f t="shared" si="12"/>
        <v>0</v>
      </c>
      <c r="N105" s="120"/>
      <c r="O105" s="121"/>
      <c r="P105" s="122"/>
      <c r="Q105" s="123">
        <f t="shared" si="13"/>
        <v>565862.5</v>
      </c>
      <c r="R105" s="120"/>
      <c r="S105" s="120"/>
      <c r="T105" s="121"/>
    </row>
    <row r="106" spans="1:20" x14ac:dyDescent="0.3">
      <c r="A106" s="135"/>
      <c r="B106" s="100"/>
      <c r="C106" s="100" t="s">
        <v>201</v>
      </c>
      <c r="D106" s="100"/>
      <c r="E106" s="100"/>
      <c r="F106" s="100"/>
      <c r="G106" s="119">
        <v>43</v>
      </c>
      <c r="H106" s="120">
        <f t="shared" si="10"/>
        <v>1198625</v>
      </c>
      <c r="I106" s="120"/>
      <c r="J106" s="121"/>
      <c r="K106" s="122"/>
      <c r="L106" s="119">
        <v>0</v>
      </c>
      <c r="M106" s="120">
        <f t="shared" si="12"/>
        <v>0</v>
      </c>
      <c r="N106" s="120"/>
      <c r="O106" s="121"/>
      <c r="P106" s="122"/>
      <c r="Q106" s="123">
        <f t="shared" si="13"/>
        <v>1198625</v>
      </c>
      <c r="R106" s="120"/>
      <c r="S106" s="120"/>
      <c r="T106" s="121"/>
    </row>
    <row r="107" spans="1:20" x14ac:dyDescent="0.3">
      <c r="A107" s="124"/>
      <c r="B107" s="100"/>
      <c r="C107" s="129" t="s">
        <v>202</v>
      </c>
      <c r="D107" s="100"/>
      <c r="E107" s="100"/>
      <c r="F107" s="100"/>
      <c r="G107" s="119">
        <v>2</v>
      </c>
      <c r="H107" s="120">
        <f t="shared" si="10"/>
        <v>55750</v>
      </c>
      <c r="I107" s="120"/>
      <c r="J107" s="121"/>
      <c r="K107" s="122"/>
      <c r="L107" s="119">
        <v>0</v>
      </c>
      <c r="M107" s="120">
        <f t="shared" si="12"/>
        <v>0</v>
      </c>
      <c r="N107" s="120"/>
      <c r="O107" s="121"/>
      <c r="P107" s="122"/>
      <c r="Q107" s="123">
        <f t="shared" si="13"/>
        <v>55750</v>
      </c>
      <c r="R107" s="120"/>
      <c r="S107" s="120"/>
      <c r="T107" s="121"/>
    </row>
    <row r="108" spans="1:20" x14ac:dyDescent="0.3">
      <c r="A108" s="124"/>
      <c r="B108" s="100"/>
      <c r="C108" s="100" t="s">
        <v>203</v>
      </c>
      <c r="D108" s="100"/>
      <c r="E108" s="100"/>
      <c r="F108" s="100"/>
      <c r="G108" s="119">
        <v>0.35</v>
      </c>
      <c r="H108" s="120">
        <f>+G108*$I$12</f>
        <v>9756.25</v>
      </c>
      <c r="I108" s="120"/>
      <c r="J108" s="121"/>
      <c r="K108" s="122"/>
      <c r="L108" s="119">
        <v>0</v>
      </c>
      <c r="M108" s="120">
        <f t="shared" si="12"/>
        <v>0</v>
      </c>
      <c r="N108" s="120"/>
      <c r="O108" s="121"/>
      <c r="P108" s="122"/>
      <c r="Q108" s="123">
        <f t="shared" si="13"/>
        <v>9756.25</v>
      </c>
      <c r="R108" s="120"/>
      <c r="S108" s="120"/>
      <c r="T108" s="121"/>
    </row>
    <row r="109" spans="1:20" x14ac:dyDescent="0.3">
      <c r="A109" s="124"/>
      <c r="B109" s="100"/>
      <c r="C109" s="100" t="s">
        <v>204</v>
      </c>
      <c r="D109" s="100"/>
      <c r="E109" s="100"/>
      <c r="F109" s="100"/>
      <c r="G109" s="119">
        <v>10</v>
      </c>
      <c r="H109" s="120">
        <f>+G109*$I$12</f>
        <v>278750</v>
      </c>
      <c r="I109" s="120"/>
      <c r="J109" s="121"/>
      <c r="K109" s="122"/>
      <c r="L109" s="119">
        <v>0</v>
      </c>
      <c r="M109" s="120">
        <f t="shared" si="12"/>
        <v>0</v>
      </c>
      <c r="N109" s="120"/>
      <c r="O109" s="121"/>
      <c r="P109" s="122"/>
      <c r="Q109" s="123">
        <f t="shared" si="13"/>
        <v>278750</v>
      </c>
      <c r="R109" s="120"/>
      <c r="S109" s="120"/>
      <c r="T109" s="121"/>
    </row>
    <row r="110" spans="1:20" x14ac:dyDescent="0.3">
      <c r="A110" s="124"/>
      <c r="B110" s="100"/>
      <c r="C110" s="100" t="s">
        <v>205</v>
      </c>
      <c r="D110" s="100"/>
      <c r="E110" s="100"/>
      <c r="F110" s="100"/>
      <c r="G110" s="119">
        <v>1</v>
      </c>
      <c r="H110" s="120">
        <f>+G110*$I$12</f>
        <v>27875</v>
      </c>
      <c r="I110" s="120"/>
      <c r="J110" s="121"/>
      <c r="K110" s="122"/>
      <c r="L110" s="119">
        <v>0</v>
      </c>
      <c r="M110" s="120">
        <f t="shared" si="12"/>
        <v>0</v>
      </c>
      <c r="N110" s="120"/>
      <c r="O110" s="121"/>
      <c r="P110" s="122"/>
      <c r="Q110" s="123">
        <f t="shared" si="13"/>
        <v>27875</v>
      </c>
      <c r="R110" s="120"/>
      <c r="S110" s="120"/>
      <c r="T110" s="121"/>
    </row>
    <row r="111" spans="1:20" x14ac:dyDescent="0.3">
      <c r="A111" s="124"/>
      <c r="B111" s="100"/>
      <c r="C111" s="100" t="s">
        <v>206</v>
      </c>
      <c r="D111" s="100"/>
      <c r="E111" s="100"/>
      <c r="F111" s="100"/>
      <c r="G111" s="119">
        <v>1.75</v>
      </c>
      <c r="H111" s="166">
        <f t="shared" si="10"/>
        <v>48781.25</v>
      </c>
      <c r="I111" s="120"/>
      <c r="J111" s="121"/>
      <c r="K111" s="122"/>
      <c r="L111" s="119">
        <v>0</v>
      </c>
      <c r="M111" s="120">
        <f t="shared" si="12"/>
        <v>0</v>
      </c>
      <c r="N111" s="120"/>
      <c r="O111" s="121"/>
      <c r="P111" s="122"/>
      <c r="Q111" s="123">
        <f t="shared" si="13"/>
        <v>48781.25</v>
      </c>
      <c r="R111" s="120"/>
      <c r="S111" s="120"/>
      <c r="T111" s="121"/>
    </row>
    <row r="112" spans="1:20" x14ac:dyDescent="0.3">
      <c r="A112" s="124"/>
      <c r="B112" s="100"/>
      <c r="C112" s="129" t="s">
        <v>207</v>
      </c>
      <c r="D112" s="100"/>
      <c r="E112" s="100"/>
      <c r="F112" s="100"/>
      <c r="G112" s="119">
        <v>1.4</v>
      </c>
      <c r="H112" s="166">
        <f t="shared" si="10"/>
        <v>39025</v>
      </c>
      <c r="I112" s="120"/>
      <c r="J112" s="121"/>
      <c r="K112" s="122"/>
      <c r="L112" s="119">
        <v>1.6</v>
      </c>
      <c r="M112" s="120">
        <f t="shared" si="12"/>
        <v>11396.800000000001</v>
      </c>
      <c r="N112" s="120"/>
      <c r="O112" s="121"/>
      <c r="P112" s="122"/>
      <c r="Q112" s="123">
        <f t="shared" si="13"/>
        <v>50421.8</v>
      </c>
      <c r="R112" s="120"/>
      <c r="S112" s="120"/>
      <c r="T112" s="121"/>
    </row>
    <row r="113" spans="1:20" x14ac:dyDescent="0.3">
      <c r="A113" s="124"/>
      <c r="B113" s="100"/>
      <c r="C113" s="100" t="s">
        <v>208</v>
      </c>
      <c r="D113" s="100"/>
      <c r="E113" s="100"/>
      <c r="F113" s="100"/>
      <c r="G113" s="119">
        <v>12</v>
      </c>
      <c r="H113" s="166">
        <f t="shared" si="10"/>
        <v>334500</v>
      </c>
      <c r="I113" s="120">
        <f>SUM(H104:H113)</f>
        <v>3665283.75</v>
      </c>
      <c r="J113" s="125">
        <f>+I113/$I$12</f>
        <v>131.49</v>
      </c>
      <c r="K113" s="122"/>
      <c r="L113" s="119">
        <v>12</v>
      </c>
      <c r="M113" s="120">
        <f t="shared" si="12"/>
        <v>85476</v>
      </c>
      <c r="N113" s="120">
        <f>SUM(M104:M113)</f>
        <v>488637.8</v>
      </c>
      <c r="O113" s="125">
        <f>+N113/$N$12</f>
        <v>68.599999999999994</v>
      </c>
      <c r="P113" s="122"/>
      <c r="Q113" s="123">
        <f t="shared" si="13"/>
        <v>419976</v>
      </c>
      <c r="R113" s="120">
        <f>SUM(Q104:Q113)</f>
        <v>4153921.55</v>
      </c>
      <c r="S113" s="120"/>
      <c r="T113" s="128">
        <f>+R113/$R$138</f>
        <v>0.27572830313454177</v>
      </c>
    </row>
    <row r="114" spans="1:20" x14ac:dyDescent="0.3">
      <c r="A114" s="106" t="s">
        <v>209</v>
      </c>
      <c r="B114" s="107" t="s">
        <v>210</v>
      </c>
      <c r="C114" s="107"/>
      <c r="D114" s="107"/>
      <c r="E114" s="107"/>
      <c r="F114" s="108"/>
      <c r="G114" s="109"/>
      <c r="H114" s="110"/>
      <c r="I114" s="110"/>
      <c r="J114" s="111"/>
      <c r="K114" s="112"/>
      <c r="L114" s="113"/>
      <c r="M114" s="114"/>
      <c r="N114" s="114"/>
      <c r="O114" s="115"/>
      <c r="P114" s="112"/>
      <c r="Q114" s="113"/>
      <c r="R114" s="116"/>
      <c r="S114" s="116"/>
      <c r="T114" s="117"/>
    </row>
    <row r="115" spans="1:20" x14ac:dyDescent="0.3">
      <c r="A115" s="118"/>
      <c r="B115" s="100"/>
      <c r="C115" s="129" t="s">
        <v>211</v>
      </c>
      <c r="D115" s="100"/>
      <c r="E115" s="100"/>
      <c r="F115" s="100"/>
      <c r="G115" s="119">
        <v>15.64</v>
      </c>
      <c r="H115" s="166">
        <f t="shared" ref="H115:H124" si="14">+G115*$I$12</f>
        <v>435965</v>
      </c>
      <c r="I115" s="120"/>
      <c r="J115" s="121"/>
      <c r="K115" s="122"/>
      <c r="L115" s="119">
        <v>12</v>
      </c>
      <c r="M115" s="120">
        <f t="shared" ref="M115:M124" si="15">+L115*$N$12</f>
        <v>85476</v>
      </c>
      <c r="N115" s="120"/>
      <c r="O115" s="121"/>
      <c r="P115" s="122"/>
      <c r="Q115" s="123">
        <f t="shared" si="0"/>
        <v>521441</v>
      </c>
      <c r="R115" s="120"/>
      <c r="S115" s="120"/>
      <c r="T115" s="121"/>
    </row>
    <row r="116" spans="1:20" x14ac:dyDescent="0.3">
      <c r="A116" s="124"/>
      <c r="B116" s="100"/>
      <c r="C116" s="129" t="s">
        <v>212</v>
      </c>
      <c r="D116" s="100"/>
      <c r="E116" s="100"/>
      <c r="F116" s="100"/>
      <c r="G116" s="119">
        <v>6.18</v>
      </c>
      <c r="H116" s="166">
        <f t="shared" si="14"/>
        <v>172267.5</v>
      </c>
      <c r="I116" s="120"/>
      <c r="J116" s="121"/>
      <c r="K116" s="122"/>
      <c r="L116" s="119"/>
      <c r="M116" s="120">
        <f t="shared" si="15"/>
        <v>0</v>
      </c>
      <c r="N116" s="120"/>
      <c r="O116" s="121"/>
      <c r="P116" s="122"/>
      <c r="Q116" s="123">
        <f t="shared" si="0"/>
        <v>172267.5</v>
      </c>
      <c r="R116" s="120"/>
      <c r="S116" s="120"/>
      <c r="T116" s="121"/>
    </row>
    <row r="117" spans="1:20" x14ac:dyDescent="0.3">
      <c r="A117" s="124"/>
      <c r="B117" s="100"/>
      <c r="C117" s="129" t="s">
        <v>213</v>
      </c>
      <c r="D117" s="100"/>
      <c r="E117" s="100"/>
      <c r="F117" s="100"/>
      <c r="G117" s="119">
        <v>10</v>
      </c>
      <c r="H117" s="166">
        <f t="shared" si="14"/>
        <v>278750</v>
      </c>
      <c r="I117" s="120"/>
      <c r="J117" s="121"/>
      <c r="K117" s="122"/>
      <c r="L117" s="119">
        <v>14</v>
      </c>
      <c r="M117" s="120">
        <f t="shared" si="15"/>
        <v>99722</v>
      </c>
      <c r="N117" s="120"/>
      <c r="O117" s="121"/>
      <c r="P117" s="122"/>
      <c r="Q117" s="123">
        <f t="shared" si="0"/>
        <v>378472</v>
      </c>
      <c r="R117" s="120"/>
      <c r="S117" s="120"/>
      <c r="T117" s="121"/>
    </row>
    <row r="118" spans="1:20" x14ac:dyDescent="0.3">
      <c r="A118" s="124"/>
      <c r="B118" s="100"/>
      <c r="C118" s="129" t="s">
        <v>214</v>
      </c>
      <c r="D118" s="100"/>
      <c r="E118" s="100"/>
      <c r="F118" s="100"/>
      <c r="G118" s="119">
        <v>3.5</v>
      </c>
      <c r="H118" s="166">
        <f t="shared" si="14"/>
        <v>97562.5</v>
      </c>
      <c r="I118" s="120"/>
      <c r="J118" s="121"/>
      <c r="K118" s="122"/>
      <c r="L118" s="119">
        <v>0</v>
      </c>
      <c r="M118" s="120">
        <f t="shared" si="15"/>
        <v>0</v>
      </c>
      <c r="N118" s="120"/>
      <c r="O118" s="121"/>
      <c r="P118" s="122"/>
      <c r="Q118" s="123">
        <f t="shared" si="0"/>
        <v>97562.5</v>
      </c>
      <c r="R118" s="120"/>
      <c r="S118" s="120"/>
      <c r="T118" s="121"/>
    </row>
    <row r="119" spans="1:20" x14ac:dyDescent="0.3">
      <c r="A119" s="124"/>
      <c r="B119" s="100"/>
      <c r="C119" s="100" t="s">
        <v>215</v>
      </c>
      <c r="D119" s="100"/>
      <c r="E119" s="100"/>
      <c r="F119" s="100"/>
      <c r="G119" s="119">
        <v>2</v>
      </c>
      <c r="H119" s="166">
        <f t="shared" si="14"/>
        <v>55750</v>
      </c>
      <c r="I119" s="120"/>
      <c r="J119" s="121"/>
      <c r="K119" s="122"/>
      <c r="L119" s="119">
        <v>2</v>
      </c>
      <c r="M119" s="120">
        <f t="shared" si="15"/>
        <v>14246</v>
      </c>
      <c r="N119" s="120"/>
      <c r="O119" s="121"/>
      <c r="P119" s="122"/>
      <c r="Q119" s="123">
        <f t="shared" si="0"/>
        <v>69996</v>
      </c>
      <c r="R119" s="120"/>
      <c r="S119" s="120"/>
      <c r="T119" s="121"/>
    </row>
    <row r="120" spans="1:20" x14ac:dyDescent="0.3">
      <c r="A120" s="124"/>
      <c r="B120" s="100"/>
      <c r="C120" s="100" t="s">
        <v>216</v>
      </c>
      <c r="D120" s="100"/>
      <c r="E120" s="100"/>
      <c r="F120" s="100"/>
      <c r="G120" s="119">
        <v>3</v>
      </c>
      <c r="H120" s="166">
        <f t="shared" si="14"/>
        <v>83625</v>
      </c>
      <c r="I120" s="120"/>
      <c r="J120" s="121"/>
      <c r="K120" s="122"/>
      <c r="L120" s="119">
        <v>3</v>
      </c>
      <c r="M120" s="120">
        <f t="shared" si="15"/>
        <v>21369</v>
      </c>
      <c r="N120" s="120"/>
      <c r="O120" s="121"/>
      <c r="P120" s="122"/>
      <c r="Q120" s="123">
        <f t="shared" si="0"/>
        <v>104994</v>
      </c>
      <c r="R120" s="120"/>
      <c r="S120" s="120"/>
      <c r="T120" s="121"/>
    </row>
    <row r="121" spans="1:20" x14ac:dyDescent="0.3">
      <c r="A121" s="124"/>
      <c r="B121" s="100"/>
      <c r="C121" s="100" t="s">
        <v>217</v>
      </c>
      <c r="D121" s="100"/>
      <c r="E121" s="100"/>
      <c r="F121" s="100"/>
      <c r="G121" s="119">
        <v>0.25</v>
      </c>
      <c r="H121" s="166">
        <f>+G121*$I$12</f>
        <v>6968.75</v>
      </c>
      <c r="I121" s="120"/>
      <c r="J121" s="121"/>
      <c r="K121" s="122"/>
      <c r="L121" s="119">
        <v>1</v>
      </c>
      <c r="M121" s="120">
        <f>+L121*$N$12</f>
        <v>7123</v>
      </c>
      <c r="N121" s="120"/>
      <c r="O121" s="121"/>
      <c r="P121" s="122"/>
      <c r="Q121" s="123">
        <f>+H121+M121</f>
        <v>14091.75</v>
      </c>
      <c r="R121" s="120"/>
      <c r="S121" s="120"/>
      <c r="T121" s="121"/>
    </row>
    <row r="122" spans="1:20" x14ac:dyDescent="0.3">
      <c r="A122" s="124"/>
      <c r="B122" s="100"/>
      <c r="C122" s="100" t="s">
        <v>218</v>
      </c>
      <c r="D122" s="100"/>
      <c r="E122" s="100"/>
      <c r="F122" s="100"/>
      <c r="G122" s="119">
        <v>0.25</v>
      </c>
      <c r="H122" s="166">
        <f t="shared" si="14"/>
        <v>6968.75</v>
      </c>
      <c r="I122" s="120"/>
      <c r="J122" s="121"/>
      <c r="K122" s="122"/>
      <c r="L122" s="119">
        <v>0.5</v>
      </c>
      <c r="M122" s="120">
        <f t="shared" si="15"/>
        <v>3561.5</v>
      </c>
      <c r="N122" s="120"/>
      <c r="O122" s="121"/>
      <c r="P122" s="122"/>
      <c r="Q122" s="123">
        <f t="shared" si="0"/>
        <v>10530.25</v>
      </c>
      <c r="R122" s="120"/>
      <c r="S122" s="120"/>
      <c r="T122" s="121"/>
    </row>
    <row r="123" spans="1:20" x14ac:dyDescent="0.3">
      <c r="A123" s="124"/>
      <c r="B123" s="100"/>
      <c r="C123" s="100" t="s">
        <v>219</v>
      </c>
      <c r="D123" s="100"/>
      <c r="E123" s="100"/>
      <c r="F123" s="100"/>
      <c r="G123" s="119">
        <v>0.65</v>
      </c>
      <c r="H123" s="166">
        <f t="shared" si="14"/>
        <v>18118.75</v>
      </c>
      <c r="I123" s="120"/>
      <c r="J123" s="121"/>
      <c r="K123" s="122"/>
      <c r="L123" s="119">
        <v>0</v>
      </c>
      <c r="M123" s="120">
        <f t="shared" si="15"/>
        <v>0</v>
      </c>
      <c r="N123" s="120"/>
      <c r="O123" s="121"/>
      <c r="P123" s="122"/>
      <c r="Q123" s="123">
        <f t="shared" si="0"/>
        <v>18118.75</v>
      </c>
      <c r="R123" s="120"/>
      <c r="S123" s="120"/>
      <c r="T123" s="121"/>
    </row>
    <row r="124" spans="1:20" x14ac:dyDescent="0.3">
      <c r="A124" s="124"/>
      <c r="B124" s="100"/>
      <c r="C124" s="100" t="s">
        <v>220</v>
      </c>
      <c r="D124" s="100"/>
      <c r="E124" s="100"/>
      <c r="F124" s="100"/>
      <c r="G124" s="119">
        <v>1</v>
      </c>
      <c r="H124" s="166">
        <f t="shared" si="14"/>
        <v>27875</v>
      </c>
      <c r="I124" s="120">
        <f>SUM(H115:H124)</f>
        <v>1183851.25</v>
      </c>
      <c r="J124" s="125">
        <f>+I124/$I$12</f>
        <v>42.47</v>
      </c>
      <c r="K124" s="126"/>
      <c r="L124" s="119">
        <v>2</v>
      </c>
      <c r="M124" s="120">
        <f t="shared" si="15"/>
        <v>14246</v>
      </c>
      <c r="N124" s="120">
        <f>SUM(M114:M124)</f>
        <v>245743.5</v>
      </c>
      <c r="O124" s="125">
        <f>+N124/$N$12</f>
        <v>34.5</v>
      </c>
      <c r="P124" s="126"/>
      <c r="Q124" s="123">
        <f t="shared" si="0"/>
        <v>42121</v>
      </c>
      <c r="R124" s="120">
        <f>SUM(Q114:Q124)</f>
        <v>1429594.75</v>
      </c>
      <c r="S124" s="127">
        <f>+R124/($I$12+$N$12)</f>
        <v>40.847898451340079</v>
      </c>
      <c r="T124" s="128">
        <f>+R124/$R$138</f>
        <v>9.4893398886541205E-2</v>
      </c>
    </row>
    <row r="125" spans="1:20" x14ac:dyDescent="0.3">
      <c r="A125" s="106" t="s">
        <v>221</v>
      </c>
      <c r="B125" s="107" t="s">
        <v>33</v>
      </c>
      <c r="C125" s="107"/>
      <c r="D125" s="107"/>
      <c r="E125" s="107"/>
      <c r="F125" s="108"/>
      <c r="G125" s="109"/>
      <c r="H125" s="110"/>
      <c r="I125" s="110"/>
      <c r="J125" s="111"/>
      <c r="K125" s="112"/>
      <c r="L125" s="113"/>
      <c r="M125" s="114"/>
      <c r="N125" s="114"/>
      <c r="O125" s="115"/>
      <c r="P125" s="112"/>
      <c r="Q125" s="113"/>
      <c r="R125" s="116"/>
      <c r="S125" s="116"/>
      <c r="T125" s="117"/>
    </row>
    <row r="126" spans="1:20" x14ac:dyDescent="0.3">
      <c r="A126" s="118"/>
      <c r="B126" s="100"/>
      <c r="C126" s="129" t="s">
        <v>222</v>
      </c>
      <c r="D126" s="100"/>
      <c r="E126" s="100"/>
      <c r="F126" s="100"/>
      <c r="G126" s="119">
        <v>3</v>
      </c>
      <c r="H126" s="166">
        <f>+G126*$I$12</f>
        <v>83625</v>
      </c>
      <c r="I126" s="120"/>
      <c r="J126" s="121"/>
      <c r="K126" s="122"/>
      <c r="L126" s="119">
        <v>0</v>
      </c>
      <c r="M126" s="120">
        <f>+L126*$N$12</f>
        <v>0</v>
      </c>
      <c r="N126" s="120"/>
      <c r="O126" s="121"/>
      <c r="P126" s="122"/>
      <c r="Q126" s="123">
        <f>+H126+M126</f>
        <v>83625</v>
      </c>
      <c r="R126" s="104"/>
      <c r="S126" s="120"/>
      <c r="T126" s="121"/>
    </row>
    <row r="127" spans="1:20" x14ac:dyDescent="0.3">
      <c r="A127" s="124"/>
      <c r="B127" s="100"/>
      <c r="C127" s="100" t="s">
        <v>223</v>
      </c>
      <c r="D127" s="100"/>
      <c r="E127" s="100"/>
      <c r="F127" s="100"/>
      <c r="G127" s="119">
        <v>12</v>
      </c>
      <c r="H127" s="166">
        <f>+G127*$I$12</f>
        <v>334500</v>
      </c>
      <c r="I127" s="120"/>
      <c r="J127" s="121"/>
      <c r="K127" s="122"/>
      <c r="L127" s="119">
        <v>0</v>
      </c>
      <c r="M127" s="120">
        <f>+L127*$N$12</f>
        <v>0</v>
      </c>
      <c r="N127" s="120"/>
      <c r="O127" s="121"/>
      <c r="P127" s="122"/>
      <c r="Q127" s="123">
        <f>+H127+M127</f>
        <v>334500</v>
      </c>
      <c r="R127" s="120"/>
      <c r="S127" s="120"/>
      <c r="T127" s="121"/>
    </row>
    <row r="128" spans="1:20" x14ac:dyDescent="0.3">
      <c r="A128" s="124"/>
      <c r="B128" s="100"/>
      <c r="C128" s="100" t="s">
        <v>224</v>
      </c>
      <c r="D128" s="100"/>
      <c r="E128" s="100"/>
      <c r="F128" s="100"/>
      <c r="G128" s="119">
        <v>3</v>
      </c>
      <c r="H128" s="166">
        <f>+G128*$I$12</f>
        <v>83625</v>
      </c>
      <c r="I128" s="120"/>
      <c r="J128" s="121"/>
      <c r="K128" s="122"/>
      <c r="L128" s="119">
        <v>0</v>
      </c>
      <c r="M128" s="120">
        <f>+L128*$N$12</f>
        <v>0</v>
      </c>
      <c r="N128" s="120"/>
      <c r="O128" s="121"/>
      <c r="P128" s="122"/>
      <c r="Q128" s="123">
        <f>+H128+M128</f>
        <v>83625</v>
      </c>
      <c r="R128" s="120"/>
      <c r="S128" s="120"/>
      <c r="T128" s="121"/>
    </row>
    <row r="129" spans="1:20" x14ac:dyDescent="0.3">
      <c r="A129" s="124"/>
      <c r="B129" s="100"/>
      <c r="C129" s="129" t="s">
        <v>225</v>
      </c>
      <c r="D129" s="100"/>
      <c r="E129" s="100"/>
      <c r="F129" s="100"/>
      <c r="G129" s="119">
        <v>0.75</v>
      </c>
      <c r="H129" s="166">
        <f>+G129*$I$12</f>
        <v>20906.25</v>
      </c>
      <c r="I129" s="120"/>
      <c r="J129" s="121"/>
      <c r="K129" s="122"/>
      <c r="L129" s="119">
        <v>0</v>
      </c>
      <c r="M129" s="120">
        <f>+L129*$N$12</f>
        <v>0</v>
      </c>
      <c r="N129" s="120"/>
      <c r="O129" s="121"/>
      <c r="P129" s="122"/>
      <c r="Q129" s="123">
        <f>+H129+M129</f>
        <v>20906.25</v>
      </c>
      <c r="R129" s="120"/>
      <c r="S129" s="120"/>
      <c r="T129" s="121"/>
    </row>
    <row r="130" spans="1:20" ht="15" thickBot="1" x14ac:dyDescent="0.35">
      <c r="A130" s="124"/>
      <c r="B130" s="100"/>
      <c r="C130" s="129" t="s">
        <v>226</v>
      </c>
      <c r="D130" s="100"/>
      <c r="E130" s="100"/>
      <c r="F130" s="100"/>
      <c r="G130" s="136">
        <v>1</v>
      </c>
      <c r="H130" s="166">
        <f>+G130*$I$12</f>
        <v>27875</v>
      </c>
      <c r="I130" s="137">
        <f>SUM(H126:H130)</f>
        <v>550531.25</v>
      </c>
      <c r="J130" s="138">
        <f>+I130/$I$12</f>
        <v>19.75</v>
      </c>
      <c r="K130" s="126"/>
      <c r="L130" s="136">
        <v>0</v>
      </c>
      <c r="M130" s="137">
        <f>+L130*$N$12</f>
        <v>0</v>
      </c>
      <c r="N130" s="137">
        <f>SUM(M126:M130)</f>
        <v>0</v>
      </c>
      <c r="O130" s="138">
        <f>+N130/$N$12</f>
        <v>0</v>
      </c>
      <c r="P130" s="126"/>
      <c r="Q130" s="136">
        <f>+H130+M130</f>
        <v>27875</v>
      </c>
      <c r="R130" s="137">
        <f>SUM(Q125:Q130)</f>
        <v>550531.25</v>
      </c>
      <c r="S130" s="137">
        <f>+R130/($I$12+$N$12)</f>
        <v>15.730363163609349</v>
      </c>
      <c r="T130" s="139">
        <f>+R130/$R$138</f>
        <v>3.6543070339168593E-2</v>
      </c>
    </row>
    <row r="131" spans="1:20" ht="15.6" thickTop="1" thickBot="1" x14ac:dyDescent="0.35">
      <c r="A131" s="10"/>
      <c r="B131" s="10"/>
      <c r="C131" s="10"/>
      <c r="D131" s="10"/>
      <c r="E131" s="10"/>
      <c r="F131" s="10"/>
      <c r="G131" s="140"/>
      <c r="H131" s="141"/>
      <c r="I131" s="141"/>
      <c r="J131" s="140"/>
      <c r="K131" s="142"/>
      <c r="L131" s="140"/>
      <c r="M131" s="141"/>
      <c r="N131" s="141"/>
      <c r="O131" s="140"/>
      <c r="P131" s="142"/>
      <c r="Q131" s="141"/>
      <c r="R131" s="141"/>
      <c r="S131" s="140"/>
      <c r="T131" s="140"/>
    </row>
    <row r="132" spans="1:20" ht="15.6" thickTop="1" thickBot="1" x14ac:dyDescent="0.35">
      <c r="A132" s="10"/>
      <c r="B132" s="10"/>
      <c r="C132" s="143" t="s">
        <v>227</v>
      </c>
      <c r="D132" s="144"/>
      <c r="E132" s="144"/>
      <c r="F132" s="144"/>
      <c r="G132" s="145">
        <f>SUM(G18:G130)</f>
        <v>435.21000000000004</v>
      </c>
      <c r="H132" s="146">
        <f>SUM(H18:H130)</f>
        <v>12131478.75</v>
      </c>
      <c r="I132" s="146">
        <f>SUM(I18:I130)</f>
        <v>12131478.75</v>
      </c>
      <c r="J132" s="145">
        <f>SUM(J18:J130)</f>
        <v>435.21000000000004</v>
      </c>
      <c r="K132" s="145"/>
      <c r="L132" s="145">
        <f>SUM(L18:L130)</f>
        <v>257.25</v>
      </c>
      <c r="M132" s="146">
        <f>SUM(M18:M130)</f>
        <v>1832391.7500000002</v>
      </c>
      <c r="N132" s="146">
        <f>SUM(N18:N130)</f>
        <v>1832391.75</v>
      </c>
      <c r="O132" s="145">
        <f>SUM(O18:O130)</f>
        <v>257.25</v>
      </c>
      <c r="P132" s="145"/>
      <c r="Q132" s="146">
        <f>SUM(Q18:Q130)</f>
        <v>13963870.5</v>
      </c>
      <c r="R132" s="146">
        <f>SUM(R18:R130)</f>
        <v>13963870.5</v>
      </c>
      <c r="S132" s="147">
        <f>SUM(S18:S130)</f>
        <v>280.3002728727356</v>
      </c>
      <c r="T132" s="148">
        <f>SUM(T18:T131)</f>
        <v>0.92689143784034289</v>
      </c>
    </row>
    <row r="133" spans="1:20" ht="15" thickTop="1" x14ac:dyDescent="0.3">
      <c r="A133" s="10"/>
      <c r="B133" s="10"/>
      <c r="C133" s="10"/>
      <c r="D133" s="10"/>
      <c r="E133" s="10"/>
      <c r="F133" s="10"/>
      <c r="G133" s="140"/>
      <c r="H133" s="141"/>
      <c r="I133" s="141"/>
      <c r="J133" s="140"/>
      <c r="K133" s="142"/>
      <c r="L133" s="140"/>
      <c r="M133" s="141"/>
      <c r="N133" s="141"/>
      <c r="O133" s="140"/>
      <c r="P133" s="142"/>
      <c r="Q133" s="141"/>
      <c r="R133" s="141"/>
      <c r="S133" s="140"/>
      <c r="T133" s="140"/>
    </row>
    <row r="134" spans="1:20" x14ac:dyDescent="0.3">
      <c r="A134" s="106" t="s">
        <v>228</v>
      </c>
      <c r="B134" s="107"/>
      <c r="C134" s="107"/>
      <c r="D134" s="107"/>
      <c r="E134" s="107"/>
      <c r="F134" s="108"/>
      <c r="G134" s="109"/>
      <c r="H134" s="110"/>
      <c r="I134" s="110"/>
      <c r="J134" s="111"/>
      <c r="K134" s="112"/>
      <c r="L134" s="109"/>
      <c r="M134" s="110"/>
      <c r="N134" s="110"/>
      <c r="O134" s="111"/>
      <c r="P134" s="112"/>
      <c r="Q134" s="109"/>
      <c r="R134" s="108"/>
      <c r="S134" s="108"/>
      <c r="T134" s="149"/>
    </row>
    <row r="135" spans="1:20" x14ac:dyDescent="0.3">
      <c r="A135" s="10"/>
      <c r="B135" s="150"/>
      <c r="C135" s="151" t="s">
        <v>229</v>
      </c>
      <c r="D135" s="152"/>
      <c r="E135" s="152"/>
      <c r="F135" s="153">
        <v>0.05</v>
      </c>
      <c r="G135" s="119">
        <f>+H135/I12</f>
        <v>21.7605</v>
      </c>
      <c r="H135" s="120">
        <f>+I132*F135</f>
        <v>606573.9375</v>
      </c>
      <c r="I135" s="120">
        <f>+I132*B135</f>
        <v>0</v>
      </c>
      <c r="J135" s="154"/>
      <c r="K135" s="155"/>
      <c r="L135" s="119">
        <f>+M135/N12</f>
        <v>12.862500000000002</v>
      </c>
      <c r="M135" s="120">
        <f>+M132*F135</f>
        <v>91619.587500000023</v>
      </c>
      <c r="N135" s="120"/>
      <c r="O135" s="154"/>
      <c r="P135" s="155"/>
      <c r="Q135" s="123">
        <f>+M135+H135</f>
        <v>698193.52500000002</v>
      </c>
      <c r="R135" s="120"/>
      <c r="S135" s="156"/>
      <c r="T135" s="156"/>
    </row>
    <row r="136" spans="1:20" ht="15" thickBot="1" x14ac:dyDescent="0.35">
      <c r="A136" s="10"/>
      <c r="B136" s="150"/>
      <c r="C136" s="152" t="s">
        <v>230</v>
      </c>
      <c r="D136" s="152"/>
      <c r="E136" s="152"/>
      <c r="F136" s="153">
        <v>2.75E-2</v>
      </c>
      <c r="G136" s="136">
        <f>+H136/I12</f>
        <v>12.566688750000001</v>
      </c>
      <c r="H136" s="137">
        <f>+(H132+H135)*F136</f>
        <v>350296.44890625001</v>
      </c>
      <c r="I136" s="137">
        <f>SUM(H135:H136)</f>
        <v>956870.38640625007</v>
      </c>
      <c r="J136" s="138">
        <f>+I136/$I$12</f>
        <v>34.327188750000005</v>
      </c>
      <c r="K136" s="126"/>
      <c r="L136" s="136">
        <f>+M136/N12</f>
        <v>7.4280937500000022</v>
      </c>
      <c r="M136" s="137">
        <f>+(M132+M135)*F136</f>
        <v>52910.311781250013</v>
      </c>
      <c r="N136" s="137">
        <f>SUM(M135:M136)</f>
        <v>144529.89928125002</v>
      </c>
      <c r="O136" s="138">
        <f>+N136/N12</f>
        <v>20.290593750000003</v>
      </c>
      <c r="P136" s="126"/>
      <c r="Q136" s="136">
        <f>+M136+H136</f>
        <v>403206.76068750001</v>
      </c>
      <c r="R136" s="137">
        <f>SUM(Q135:Q136)</f>
        <v>1101400.2856875001</v>
      </c>
      <c r="S136" s="137">
        <f>+R136/($I$12+$N$12)</f>
        <v>31.470377898379912</v>
      </c>
      <c r="T136" s="139">
        <f>+R136/$R$138</f>
        <v>7.3108562159657053E-2</v>
      </c>
    </row>
    <row r="137" spans="1:20" ht="15.6" thickTop="1" thickBot="1" x14ac:dyDescent="0.35">
      <c r="A137" s="10"/>
      <c r="B137" s="10"/>
      <c r="C137" s="157"/>
      <c r="D137" s="157"/>
      <c r="E137" s="157"/>
      <c r="F137" s="158"/>
      <c r="G137" s="140"/>
      <c r="H137" s="141"/>
      <c r="I137" s="72"/>
      <c r="J137" s="140"/>
      <c r="K137" s="142"/>
      <c r="L137" s="140"/>
      <c r="M137" s="141"/>
      <c r="N137" s="141"/>
      <c r="O137" s="140"/>
      <c r="P137" s="142"/>
      <c r="Q137" s="141"/>
      <c r="R137" s="141"/>
      <c r="S137" s="140"/>
      <c r="T137" s="140"/>
    </row>
    <row r="138" spans="1:20" ht="15.6" thickTop="1" thickBot="1" x14ac:dyDescent="0.35">
      <c r="A138" s="10"/>
      <c r="B138" s="10"/>
      <c r="C138" s="143" t="s">
        <v>231</v>
      </c>
      <c r="D138" s="144"/>
      <c r="E138" s="144"/>
      <c r="F138" s="144"/>
      <c r="G138" s="145">
        <f>SUM(G132:G136)</f>
        <v>469.53718875000004</v>
      </c>
      <c r="H138" s="146">
        <f>SUM(H132:H136)</f>
        <v>13088349.13640625</v>
      </c>
      <c r="I138" s="146">
        <f>SUM(I132:I136)</f>
        <v>13088349.13640625</v>
      </c>
      <c r="J138" s="145">
        <f>SUM(J132:J136)</f>
        <v>469.53718875000004</v>
      </c>
      <c r="K138" s="145"/>
      <c r="L138" s="145">
        <f>SUM(L132:L137)</f>
        <v>277.54059375000003</v>
      </c>
      <c r="M138" s="146">
        <f>SUM(M132:M137)</f>
        <v>1976921.6492812503</v>
      </c>
      <c r="N138" s="146">
        <f>SUM(N132:N137)</f>
        <v>1976921.6492812501</v>
      </c>
      <c r="O138" s="145">
        <f>SUM(O132:O137)</f>
        <v>277.54059375000003</v>
      </c>
      <c r="P138" s="145"/>
      <c r="Q138" s="146">
        <f>SUM(Q132:Q137)</f>
        <v>15065270.785687501</v>
      </c>
      <c r="R138" s="146">
        <f>SUM(R132:R137)</f>
        <v>15065270.785687501</v>
      </c>
      <c r="S138" s="147">
        <f>SUM(S132:S137)</f>
        <v>311.77065077111553</v>
      </c>
      <c r="T138" s="148">
        <f>SUM(T132:T137)</f>
        <v>1</v>
      </c>
    </row>
    <row r="139" spans="1:20" ht="15" thickTop="1" x14ac:dyDescent="0.3"/>
    <row r="140" spans="1:20" x14ac:dyDescent="0.3">
      <c r="B140" s="159" t="s">
        <v>232</v>
      </c>
      <c r="C140" s="160"/>
      <c r="D140" s="160"/>
      <c r="E140" s="160"/>
      <c r="F140" s="161"/>
      <c r="G140" s="162"/>
      <c r="H140" s="163"/>
      <c r="I140" s="163"/>
      <c r="J140" s="164"/>
      <c r="L140" s="165"/>
      <c r="N140" s="165"/>
    </row>
    <row r="141" spans="1:20" x14ac:dyDescent="0.3">
      <c r="B141" s="150"/>
      <c r="C141" s="100" t="str">
        <f>+C106</f>
        <v>New boilers 3ea 200 BHP Tube fired @ $400,000 ea</v>
      </c>
      <c r="D141" s="100"/>
      <c r="E141" s="100"/>
      <c r="F141" s="100"/>
      <c r="G141" s="119"/>
      <c r="H141" s="120">
        <f>+H106</f>
        <v>1198625</v>
      </c>
      <c r="I141" s="120"/>
      <c r="J141" s="121"/>
    </row>
    <row r="142" spans="1:20" x14ac:dyDescent="0.3">
      <c r="B142" s="150"/>
      <c r="C142" s="100" t="str">
        <f>+C107</f>
        <v>Temporary boiler</v>
      </c>
      <c r="D142" s="100"/>
      <c r="E142" s="100"/>
      <c r="F142" s="100"/>
      <c r="G142" s="119"/>
      <c r="H142" s="120">
        <f>+H107</f>
        <v>55750</v>
      </c>
      <c r="I142" s="120"/>
      <c r="J142" s="121"/>
    </row>
    <row r="143" spans="1:20" x14ac:dyDescent="0.3">
      <c r="B143" s="150"/>
      <c r="C143" s="100" t="str">
        <f>+C110</f>
        <v>Clean existing fuel oil tanks</v>
      </c>
      <c r="D143" s="100"/>
      <c r="E143" s="100"/>
      <c r="F143" s="100"/>
      <c r="G143" s="119"/>
      <c r="H143" s="120">
        <f>+H110</f>
        <v>27875</v>
      </c>
      <c r="I143" s="120"/>
      <c r="J143" s="121"/>
    </row>
    <row r="144" spans="1:20" x14ac:dyDescent="0.3">
      <c r="B144" s="150"/>
      <c r="C144" s="100" t="s">
        <v>203</v>
      </c>
      <c r="D144" s="100"/>
      <c r="E144" s="100"/>
      <c r="F144" s="100"/>
      <c r="G144" s="119"/>
      <c r="H144" s="120">
        <f>+H108</f>
        <v>9756.25</v>
      </c>
      <c r="I144" s="120"/>
      <c r="J144" s="121"/>
    </row>
    <row r="145" spans="2:17" x14ac:dyDescent="0.3">
      <c r="B145" s="150"/>
      <c r="C145" s="100" t="s">
        <v>204</v>
      </c>
      <c r="D145" s="100"/>
      <c r="E145" s="100"/>
      <c r="F145" s="100"/>
      <c r="G145" s="119"/>
      <c r="H145" s="120">
        <f>+H109</f>
        <v>278750</v>
      </c>
      <c r="I145" s="120">
        <f>SUM(H141:H145)</f>
        <v>1570756.25</v>
      </c>
      <c r="J145" s="125">
        <f>+I145/$I$12</f>
        <v>56.35</v>
      </c>
    </row>
    <row r="146" spans="2:17" x14ac:dyDescent="0.3">
      <c r="Q146" s="72"/>
    </row>
  </sheetData>
  <pageMargins left="0.7" right="0.7" top="0.75" bottom="0.75" header="0.3" footer="0.3"/>
  <pageSetup scale="44" fitToHeight="0" orientation="landscape" r:id="rId1"/>
  <headerFooter>
    <oddHeader>&amp;L&amp;"-,Bold"&amp;12Attachment C - &amp;A</oddHeader>
    <oddFooter>&amp;L&amp;F&amp;RPage &amp;P of &amp;N</oddFooter>
  </headerFooter>
  <rowBreaks count="1" manualBreakCount="1">
    <brk id="1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GMCB Table 1</vt:lpstr>
      <vt:lpstr>Summary</vt:lpstr>
      <vt:lpstr>HPC Div est</vt:lpstr>
      <vt:lpstr>'HPC Div est'!Print_Titles</vt:lpstr>
      <vt:lpstr>Summary!Print_Titles</vt:lpstr>
    </vt:vector>
  </TitlesOfParts>
  <Company>BMH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bmhuser</dc:creator>
  <cp:lastModifiedBy>user</cp:lastModifiedBy>
  <cp:lastPrinted>2017-05-19T16:48:01Z</cp:lastPrinted>
  <dcterms:created xsi:type="dcterms:W3CDTF">2017-05-15T16:03:34Z</dcterms:created>
  <dcterms:modified xsi:type="dcterms:W3CDTF">2017-05-19T16:48:23Z</dcterms:modified>
</cp:coreProperties>
</file>