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VT All-Payer ACO Model Agreement\Reporting - APM Quality Measures\"/>
    </mc:Choice>
  </mc:AlternateContent>
  <xr:revisionPtr revIDLastSave="0" documentId="8_{FB969B2E-1EA8-49D4-8E3C-DF286EE632E0}" xr6:coauthVersionLast="45" xr6:coauthVersionMax="45" xr10:uidLastSave="{00000000-0000-0000-0000-000000000000}"/>
  <bookViews>
    <workbookView xWindow="28680" yWindow="-120" windowWidth="29040" windowHeight="15840" xr2:uid="{7F9EA28C-B49D-4597-8721-171BA5BD87CB}"/>
  </bookViews>
  <sheets>
    <sheet name="2018 Settlement Sheet Final (2)" sheetId="1" r:id="rId1"/>
  </sheets>
  <externalReferences>
    <externalReference r:id="rId2"/>
  </externalReferences>
  <definedNames>
    <definedName name="_ftnref1" localSheetId="0">'2018 Settlement Sheet Final (2)'!$C$12</definedName>
    <definedName name="Blended_18_trnd_factor" localSheetId="0">#REF!</definedName>
    <definedName name="Blended_18_trnd_factor">#REF!</definedName>
    <definedName name="E_18_trnd_factor" localSheetId="0">#REF!</definedName>
    <definedName name="E_18_trnd_factor">#REF!</definedName>
    <definedName name="manual_startup_adj" localSheetId="0">#REF!</definedName>
    <definedName name="manual_startup_adj">#REF!</definedName>
    <definedName name="nE_18_trnd_factor" localSheetId="0">#REF!</definedName>
    <definedName name="nE_18_trnd_factor">#REF!</definedName>
    <definedName name="_xlnm.Print_Area" localSheetId="0">'2018 Settlement Sheet Final (2)'!$A$1:$F$49</definedName>
    <definedName name="Y17_E_bene" localSheetId="0">#REF!</definedName>
    <definedName name="Y17_E_bene">#REF!</definedName>
    <definedName name="Y17_E_bene_pcnt" localSheetId="0">#REF!</definedName>
    <definedName name="Y17_E_bene_pcnt">#REF!</definedName>
    <definedName name="Y17_MUF_E_CurrEst" localSheetId="0">#REF!</definedName>
    <definedName name="Y17_MUF_E_CurrEst">#REF!</definedName>
    <definedName name="Y17_MUF_nE_CurrEst" localSheetId="0">#REF!</definedName>
    <definedName name="Y17_MUF_nE_CurrEst">#REF!</definedName>
    <definedName name="Y17_nE_bene" localSheetId="0">#REF!</definedName>
    <definedName name="Y17_nE_bene">#REF!</definedName>
    <definedName name="Y17_nE_bene_pcnt" localSheetId="0">#REF!</definedName>
    <definedName name="Y17_nE_bene_pcnt">#REF!</definedName>
    <definedName name="Y17_PMPY_E" localSheetId="0">#REF!</definedName>
    <definedName name="Y17_PMPY_E">#REF!</definedName>
    <definedName name="Y17_PMPY_nE" localSheetId="0">#REF!</definedName>
    <definedName name="Y17_PMPY_nE">#REF!</definedName>
    <definedName name="Y18_E_bene" localSheetId="0">#REF!</definedName>
    <definedName name="Y18_E_bene">#REF!</definedName>
    <definedName name="Y18_E_bene_pcnt" localSheetId="0">#REF!</definedName>
    <definedName name="Y18_E_bene_pcnt">#REF!</definedName>
    <definedName name="Y18_MUF_E_CurrEst" localSheetId="0">#REF!</definedName>
    <definedName name="Y18_MUF_E_CurrEst">#REF!</definedName>
    <definedName name="Y18_MUF_nE_CurrEst" localSheetId="0">#REF!</definedName>
    <definedName name="Y18_MUF_nE_CurrEst">#REF!</definedName>
    <definedName name="Y18_nE_bene" localSheetId="0">#REF!</definedName>
    <definedName name="Y18_nE_bene">#REF!</definedName>
    <definedName name="Y18_nE_bene_pcnt" localSheetId="0">#REF!</definedName>
    <definedName name="Y18_nE_bene_pc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3" i="1"/>
  <c r="D16" i="1"/>
  <c r="F16" i="1" s="1"/>
  <c r="F18" i="1" s="1"/>
  <c r="E16" i="1"/>
  <c r="B17" i="1"/>
  <c r="F17" i="1"/>
  <c r="D22" i="1"/>
  <c r="E22" i="1"/>
  <c r="F22" i="1"/>
  <c r="B23" i="1"/>
  <c r="D23" i="1"/>
  <c r="E23" i="1"/>
  <c r="F23" i="1"/>
  <c r="B26" i="1"/>
  <c r="B29" i="1"/>
  <c r="D29" i="1"/>
  <c r="D26" i="1" s="1"/>
  <c r="E29" i="1"/>
  <c r="E26" i="1" s="1"/>
  <c r="F29" i="1"/>
  <c r="D30" i="1"/>
  <c r="E30" i="1"/>
  <c r="E31" i="1"/>
  <c r="B32" i="1"/>
  <c r="B35" i="1"/>
  <c r="F35" i="1"/>
  <c r="F37" i="1" s="1"/>
  <c r="B36" i="1"/>
  <c r="B37" i="1" s="1"/>
  <c r="B40" i="1" s="1"/>
  <c r="B41" i="1" s="1"/>
  <c r="B42" i="1" s="1"/>
  <c r="B45" i="1" s="1"/>
  <c r="B46" i="1" s="1"/>
  <c r="B47" i="1" s="1"/>
  <c r="B48" i="1" s="1"/>
  <c r="F41" i="1"/>
  <c r="E32" i="1" l="1"/>
  <c r="E40" i="1" s="1"/>
  <c r="F30" i="1"/>
  <c r="F26" i="1" s="1"/>
  <c r="F31" i="1"/>
  <c r="D31" i="1"/>
  <c r="D32" i="1" s="1"/>
  <c r="D40" i="1" s="1"/>
  <c r="F32" i="1"/>
  <c r="F40" i="1" s="1"/>
  <c r="F42" i="1" s="1"/>
  <c r="F45" i="1" s="1"/>
  <c r="F46" i="1" l="1"/>
  <c r="F47" i="1"/>
  <c r="F48" i="1" s="1"/>
</calcChain>
</file>

<file path=xl/sharedStrings.xml><?xml version="1.0" encoding="utf-8"?>
<sst xmlns="http://schemas.openxmlformats.org/spreadsheetml/2006/main" count="38" uniqueCount="37">
  <si>
    <t xml:space="preserve">EQUALS Net Shared Savings/Losses </t>
  </si>
  <si>
    <t>MINUS Sequestration amount (2%)</t>
  </si>
  <si>
    <t>Gross shared savings/losses adjusted for ACO Risk Arrangement (80%)</t>
  </si>
  <si>
    <t>Net Shares Savings/Losses</t>
  </si>
  <si>
    <t xml:space="preserve">Gross savings/losses with application of CAP </t>
  </si>
  <si>
    <t>ACO CAP on Shared Savings/Losses (5% of original PY 2018 Benchmark)</t>
  </si>
  <si>
    <r>
      <t>Gross savings/losses</t>
    </r>
    <r>
      <rPr>
        <sz val="12"/>
        <rFont val="Calibri"/>
        <family val="2"/>
        <scheme val="minor"/>
      </rPr>
      <t xml:space="preserve"> (Line 6 MINUS Line 13 PLUS line 16)</t>
    </r>
  </si>
  <si>
    <r>
      <t xml:space="preserve">Gross Shared Savings/Losses </t>
    </r>
    <r>
      <rPr>
        <b/>
        <vertAlign val="superscript"/>
        <sz val="12"/>
        <color theme="1"/>
        <rFont val="Calibri"/>
        <family val="2"/>
        <scheme val="minor"/>
      </rPr>
      <t xml:space="preserve">2 </t>
    </r>
  </si>
  <si>
    <t>Quality Withhold Based on Quality Score (line 14 times line 15)</t>
  </si>
  <si>
    <t>Quality Score for PY 2018</t>
  </si>
  <si>
    <t xml:space="preserve">Maximum Quality Withhold (.5% of line 3) </t>
  </si>
  <si>
    <t>Quality Adjustment</t>
  </si>
  <si>
    <t>EQUALS: PY 2018 Part A &amp; B Expenditures</t>
  </si>
  <si>
    <t>PLUS: Sequestration amount</t>
  </si>
  <si>
    <t>PLUS: AIPBP Fee Reductions</t>
  </si>
  <si>
    <t>Incurred claims (provider payments)</t>
  </si>
  <si>
    <r>
      <t xml:space="preserve">PY 2018 Incurred Expenditures 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</si>
  <si>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PY 2018 PBPM</t>
  </si>
  <si>
    <t>PY 2018 Per Beneficiary Expenditures</t>
  </si>
  <si>
    <t>Accrued eligible person-months</t>
  </si>
  <si>
    <t>Aligned beneficiaries</t>
  </si>
  <si>
    <t>PY 2018 Aligned Beneficiaries Adjusted for Attrition</t>
  </si>
  <si>
    <t>Total PY 2018 Adjusted Benchmark (Line 4 plus Line 5)</t>
  </si>
  <si>
    <t>PY 2018 Prospective Benchmark Updated for Attrition</t>
  </si>
  <si>
    <t>PY 2018 VT ACO Updated Benchmark</t>
  </si>
  <si>
    <t>Total PY Prospective Benchmark (Line 1 plus Line 2)</t>
  </si>
  <si>
    <t>PY 2018 Prospective Benchmark</t>
  </si>
  <si>
    <t>PY 2018 VT ACO Prospective Benchmark</t>
  </si>
  <si>
    <t>Total</t>
  </si>
  <si>
    <t>ESRD</t>
  </si>
  <si>
    <t>A&amp;D</t>
  </si>
  <si>
    <t>Vermont Medicare ACO Initiative:  Performance Year 2018</t>
  </si>
  <si>
    <t xml:space="preserve">Claims Incurred From Jan 1, 2018 thru Dec 31, 2018
Claims Paid Through June 30, 2019
Last Updated July 30, 2019
</t>
  </si>
  <si>
    <t>PY 2018 Shared Savings/Losses</t>
  </si>
  <si>
    <t>*Sequestration added back to the claims and fee for service equivalents because sequestration was not applied to the advanced shared savings (see lines 12 and 21)</t>
  </si>
  <si>
    <t>Advanced Shared Savings Distributed to ACO in 2018</t>
  </si>
  <si>
    <t>Net Shared Savings MINUS Advanced Shared Savings to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</si>
</sst>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8" fontId="0" fillId="2" borderId="1" xfId="0" applyNumberFormat="1" applyFill="1" applyBorder="1" applyAlignment="1">
      <alignment vertical="center"/>
    </xf>
    <xf numFmtId="8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left" vertical="center"/>
    </xf>
    <xf numFmtId="0" fontId="4" fillId="2" borderId="0" xfId="0" applyFont="1" applyFill="1"/>
    <xf numFmtId="165" fontId="5" fillId="2" borderId="5" xfId="0" applyNumberFormat="1" applyFont="1" applyFill="1" applyBorder="1"/>
    <xf numFmtId="165" fontId="6" fillId="2" borderId="6" xfId="0" applyNumberFormat="1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164" fontId="4" fillId="2" borderId="7" xfId="0" applyNumberFormat="1" applyFont="1" applyFill="1" applyBorder="1" applyAlignment="1">
      <alignment horizontal="left"/>
    </xf>
    <xf numFmtId="165" fontId="6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wrapText="1"/>
    </xf>
    <xf numFmtId="0" fontId="7" fillId="2" borderId="0" xfId="0" applyFont="1" applyFill="1"/>
    <xf numFmtId="165" fontId="4" fillId="2" borderId="5" xfId="0" applyNumberFormat="1" applyFont="1" applyFill="1" applyBorder="1"/>
    <xf numFmtId="166" fontId="4" fillId="2" borderId="8" xfId="0" applyNumberFormat="1" applyFont="1" applyFill="1" applyBorder="1"/>
    <xf numFmtId="0" fontId="4" fillId="2" borderId="9" xfId="0" applyFont="1" applyFill="1" applyBorder="1" applyAlignment="1">
      <alignment wrapText="1"/>
    </xf>
    <xf numFmtId="165" fontId="4" fillId="2" borderId="0" xfId="0" applyNumberFormat="1" applyFont="1" applyFill="1"/>
    <xf numFmtId="165" fontId="4" fillId="2" borderId="8" xfId="0" applyNumberFormat="1" applyFont="1" applyFill="1" applyBorder="1"/>
    <xf numFmtId="164" fontId="4" fillId="2" borderId="7" xfId="0" applyNumberFormat="1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left"/>
    </xf>
    <xf numFmtId="0" fontId="6" fillId="2" borderId="0" xfId="0" applyFont="1" applyFill="1"/>
    <xf numFmtId="8" fontId="4" fillId="2" borderId="0" xfId="0" applyNumberFormat="1" applyFont="1" applyFill="1"/>
    <xf numFmtId="38" fontId="6" fillId="2" borderId="10" xfId="0" applyNumberFormat="1" applyFont="1" applyFill="1" applyBorder="1"/>
    <xf numFmtId="38" fontId="4" fillId="2" borderId="11" xfId="0" applyNumberFormat="1" applyFont="1" applyFill="1" applyBorder="1"/>
    <xf numFmtId="0" fontId="6" fillId="2" borderId="11" xfId="0" applyFont="1" applyFill="1" applyBorder="1"/>
    <xf numFmtId="8" fontId="4" fillId="2" borderId="12" xfId="0" applyNumberFormat="1" applyFont="1" applyFill="1" applyBorder="1"/>
    <xf numFmtId="8" fontId="4" fillId="2" borderId="13" xfId="0" applyNumberFormat="1" applyFont="1" applyFill="1" applyBorder="1"/>
    <xf numFmtId="0" fontId="4" fillId="2" borderId="13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left"/>
    </xf>
    <xf numFmtId="165" fontId="8" fillId="2" borderId="5" xfId="0" applyNumberFormat="1" applyFont="1" applyFill="1" applyBorder="1" applyProtection="1">
      <protection hidden="1"/>
    </xf>
    <xf numFmtId="10" fontId="8" fillId="2" borderId="5" xfId="0" applyNumberFormat="1" applyFont="1" applyFill="1" applyBorder="1" applyProtection="1">
      <protection hidden="1"/>
    </xf>
    <xf numFmtId="8" fontId="2" fillId="0" borderId="10" xfId="0" applyNumberFormat="1" applyFont="1" applyBorder="1" applyAlignment="1">
      <alignment vertical="center"/>
    </xf>
    <xf numFmtId="165" fontId="4" fillId="2" borderId="11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6" fontId="7" fillId="2" borderId="0" xfId="0" applyNumberFormat="1" applyFont="1" applyFill="1"/>
    <xf numFmtId="165" fontId="4" fillId="2" borderId="5" xfId="0" applyNumberFormat="1" applyFont="1" applyFill="1" applyBorder="1" applyProtection="1">
      <protection hidden="1"/>
    </xf>
    <xf numFmtId="5" fontId="8" fillId="2" borderId="5" xfId="0" applyNumberFormat="1" applyFont="1" applyFill="1" applyBorder="1"/>
    <xf numFmtId="5" fontId="8" fillId="2" borderId="8" xfId="0" applyNumberFormat="1" applyFont="1" applyFill="1" applyBorder="1"/>
    <xf numFmtId="0" fontId="4" fillId="2" borderId="15" xfId="0" applyFont="1" applyFill="1" applyBorder="1" applyAlignment="1">
      <alignment horizontal="left"/>
    </xf>
    <xf numFmtId="166" fontId="4" fillId="2" borderId="0" xfId="0" applyNumberFormat="1" applyFont="1" applyFill="1"/>
    <xf numFmtId="38" fontId="4" fillId="2" borderId="16" xfId="0" applyNumberFormat="1" applyFont="1" applyFill="1" applyBorder="1"/>
    <xf numFmtId="38" fontId="4" fillId="2" borderId="0" xfId="0" applyNumberFormat="1" applyFont="1" applyFill="1"/>
    <xf numFmtId="0" fontId="4" fillId="2" borderId="0" xfId="0" applyFont="1" applyFill="1" applyAlignment="1">
      <alignment horizontal="left"/>
    </xf>
    <xf numFmtId="164" fontId="4" fillId="2" borderId="17" xfId="0" applyNumberFormat="1" applyFont="1" applyFill="1" applyBorder="1" applyAlignment="1">
      <alignment horizontal="left"/>
    </xf>
    <xf numFmtId="38" fontId="8" fillId="2" borderId="5" xfId="0" applyNumberFormat="1" applyFont="1" applyFill="1" applyBorder="1"/>
    <xf numFmtId="38" fontId="8" fillId="2" borderId="8" xfId="0" applyNumberFormat="1" applyFont="1" applyFill="1" applyBorder="1"/>
    <xf numFmtId="0" fontId="4" fillId="2" borderId="9" xfId="0" applyFont="1" applyFill="1" applyBorder="1"/>
    <xf numFmtId="164" fontId="4" fillId="2" borderId="18" xfId="0" applyNumberFormat="1" applyFont="1" applyFill="1" applyBorder="1" applyAlignment="1">
      <alignment horizontal="left"/>
    </xf>
    <xf numFmtId="38" fontId="4" fillId="2" borderId="5" xfId="0" applyNumberFormat="1" applyFont="1" applyFill="1" applyBorder="1"/>
    <xf numFmtId="38" fontId="4" fillId="2" borderId="8" xfId="0" applyNumberFormat="1" applyFont="1" applyFill="1" applyBorder="1"/>
    <xf numFmtId="44" fontId="4" fillId="2" borderId="19" xfId="0" applyNumberFormat="1" applyFont="1" applyFill="1" applyBorder="1"/>
    <xf numFmtId="6" fontId="4" fillId="2" borderId="11" xfId="0" applyNumberFormat="1" applyFont="1" applyFill="1" applyBorder="1"/>
    <xf numFmtId="165" fontId="4" fillId="2" borderId="19" xfId="0" applyNumberFormat="1" applyFont="1" applyFill="1" applyBorder="1"/>
    <xf numFmtId="165" fontId="4" fillId="2" borderId="11" xfId="0" applyNumberFormat="1" applyFont="1" applyFill="1" applyBorder="1"/>
    <xf numFmtId="0" fontId="4" fillId="2" borderId="0" xfId="0" applyFont="1" applyFill="1" applyAlignment="1">
      <alignment wrapText="1"/>
    </xf>
    <xf numFmtId="164" fontId="6" fillId="2" borderId="18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6" fillId="2" borderId="9" xfId="0" applyFont="1" applyFill="1" applyBorder="1"/>
    <xf numFmtId="0" fontId="6" fillId="2" borderId="5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0" fillId="2" borderId="16" xfId="0" applyFill="1" applyBorder="1"/>
    <xf numFmtId="0" fontId="1" fillId="2" borderId="17" xfId="0" applyFont="1" applyFill="1" applyBorder="1" applyAlignment="1">
      <alignment vertical="top"/>
    </xf>
    <xf numFmtId="0" fontId="0" fillId="2" borderId="25" xfId="0" applyFill="1" applyBorder="1" applyAlignment="1">
      <alignment horizontal="right"/>
    </xf>
    <xf numFmtId="0" fontId="10" fillId="2" borderId="26" xfId="0" applyFont="1" applyFill="1" applyBorder="1"/>
    <xf numFmtId="0" fontId="11" fillId="2" borderId="22" xfId="0" applyFont="1" applyFill="1" applyBorder="1" applyAlignment="1">
      <alignment vertical="top"/>
    </xf>
    <xf numFmtId="0" fontId="11" fillId="2" borderId="23" xfId="0" applyFont="1" applyFill="1" applyBorder="1" applyAlignment="1">
      <alignment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right"/>
    </xf>
    <xf numFmtId="0" fontId="2" fillId="2" borderId="22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5" xfId="0" applyFont="1" applyFill="1" applyBorder="1" applyAlignment="1">
      <alignment horizontal="right" vertical="top" wrapText="1"/>
    </xf>
    <xf numFmtId="0" fontId="2" fillId="2" borderId="24" xfId="0" applyFont="1" applyFill="1" applyBorder="1" applyAlignment="1">
      <alignment horizontal="right" vertical="top" wrapText="1"/>
    </xf>
    <xf numFmtId="164" fontId="12" fillId="2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.tewksbury\AppData\Local\Microsoft\Windows\INetCache\Content.Outlook\H21NA502\PY%202018%20VT%20APM%20Financial%20Settlement%20Sheet%20Final%207.3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CB Notes"/>
      <sheetName val="2018 Settlement Sheet Final"/>
      <sheetName val="PY2018Benchmark Calc for SS "/>
      <sheetName val="Benchmark RAW Data 3 mo"/>
      <sheetName val="2018 Actual Expenditures"/>
      <sheetName val="Eligibility Exclusions"/>
      <sheetName val="Benchmark RAW Data"/>
    </sheetNames>
    <sheetDataSet>
      <sheetData sheetId="0" refreshError="1"/>
      <sheetData sheetId="1" refreshError="1"/>
      <sheetData sheetId="2">
        <row r="41">
          <cell r="M41">
            <v>87257.514020315648</v>
          </cell>
          <cell r="O41">
            <v>125.91666669999999</v>
          </cell>
          <cell r="Q41">
            <v>1.0349999999999999</v>
          </cell>
        </row>
        <row r="43">
          <cell r="D43">
            <v>319974344.61493516</v>
          </cell>
        </row>
      </sheetData>
      <sheetData sheetId="3" refreshError="1"/>
      <sheetData sheetId="4">
        <row r="10">
          <cell r="C10">
            <v>33047.75</v>
          </cell>
          <cell r="D10">
            <v>396586</v>
          </cell>
          <cell r="E10">
            <v>167087986</v>
          </cell>
          <cell r="F10">
            <v>139652962.5</v>
          </cell>
        </row>
        <row r="11">
          <cell r="C11">
            <v>125.91666669999999</v>
          </cell>
          <cell r="D11">
            <v>1498</v>
          </cell>
          <cell r="E11">
            <v>3834090.2599999709</v>
          </cell>
          <cell r="F11">
            <v>5209977.8000000296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8AA0-12F6-4222-B97A-2C50B7679B34}">
  <sheetPr>
    <tabColor theme="0"/>
    <pageSetUpPr fitToPage="1"/>
  </sheetPr>
  <dimension ref="B3:M52"/>
  <sheetViews>
    <sheetView tabSelected="1" topLeftCell="A22" zoomScaleNormal="100" workbookViewId="0">
      <selection activeCell="C23" sqref="C23"/>
    </sheetView>
  </sheetViews>
  <sheetFormatPr defaultColWidth="8.85546875" defaultRowHeight="15" x14ac:dyDescent="0.25"/>
  <cols>
    <col min="1" max="1" width="5.140625" style="1" customWidth="1"/>
    <col min="2" max="2" width="7.7109375" style="1" customWidth="1"/>
    <col min="3" max="3" width="61.7109375" style="1" customWidth="1"/>
    <col min="4" max="4" width="17.140625" style="1" customWidth="1"/>
    <col min="5" max="5" width="16.85546875" style="1" customWidth="1"/>
    <col min="6" max="6" width="27.5703125" style="1" customWidth="1"/>
    <col min="7" max="7" width="13.5703125" style="1" customWidth="1"/>
    <col min="8" max="8" width="74.28515625" style="1" customWidth="1"/>
    <col min="9" max="11" width="8.85546875" style="1"/>
    <col min="12" max="12" width="16.7109375" style="1" bestFit="1" customWidth="1"/>
    <col min="13" max="13" width="14.28515625" style="1" bestFit="1" customWidth="1"/>
    <col min="14" max="16384" width="8.85546875" style="1"/>
  </cols>
  <sheetData>
    <row r="3" spans="2:8" x14ac:dyDescent="0.25">
      <c r="F3" s="74"/>
    </row>
    <row r="4" spans="2:8" ht="25.9" customHeight="1" thickBot="1" x14ac:dyDescent="0.3">
      <c r="F4" s="73"/>
    </row>
    <row r="5" spans="2:8" ht="25.9" customHeight="1" x14ac:dyDescent="0.25">
      <c r="B5" s="72" t="s">
        <v>33</v>
      </c>
      <c r="C5" s="71"/>
      <c r="D5" s="75" t="s">
        <v>32</v>
      </c>
      <c r="E5" s="75"/>
      <c r="F5" s="76"/>
    </row>
    <row r="6" spans="2:8" ht="19.5" thickBot="1" x14ac:dyDescent="0.35">
      <c r="B6" s="70" t="s">
        <v>31</v>
      </c>
      <c r="C6" s="69"/>
      <c r="D6" s="77"/>
      <c r="E6" s="77"/>
      <c r="F6" s="78"/>
    </row>
    <row r="7" spans="2:8" ht="16.5" thickBot="1" x14ac:dyDescent="0.3">
      <c r="B7" s="68"/>
      <c r="F7" s="67"/>
      <c r="H7" s="56"/>
    </row>
    <row r="8" spans="2:8" s="7" customFormat="1" ht="15" customHeight="1" x14ac:dyDescent="0.25">
      <c r="B8" s="66"/>
      <c r="C8" s="65"/>
      <c r="D8" s="65"/>
      <c r="E8" s="65"/>
      <c r="F8" s="64"/>
    </row>
    <row r="9" spans="2:8" s="7" customFormat="1" ht="15.75" x14ac:dyDescent="0.25">
      <c r="B9" s="57"/>
      <c r="C9" s="63"/>
      <c r="D9" s="62" t="s">
        <v>30</v>
      </c>
      <c r="E9" s="62" t="s">
        <v>29</v>
      </c>
      <c r="F9" s="61" t="s">
        <v>28</v>
      </c>
    </row>
    <row r="10" spans="2:8" s="7" customFormat="1" ht="15.75" x14ac:dyDescent="0.25">
      <c r="B10" s="57" t="s">
        <v>27</v>
      </c>
      <c r="C10" s="60"/>
      <c r="D10" s="59"/>
      <c r="E10" s="59"/>
      <c r="F10" s="58"/>
    </row>
    <row r="11" spans="2:8" s="7" customFormat="1" ht="15.75" x14ac:dyDescent="0.25">
      <c r="B11" s="49">
        <v>1</v>
      </c>
      <c r="C11" s="48" t="s">
        <v>26</v>
      </c>
      <c r="D11" s="19">
        <v>387291837.51225787</v>
      </c>
      <c r="E11" s="19">
        <v>17615002.963776719</v>
      </c>
      <c r="F11" s="15">
        <f>SUM(D11:E11)</f>
        <v>404906840.47603458</v>
      </c>
    </row>
    <row r="12" spans="2:8" s="7" customFormat="1" ht="15.75" x14ac:dyDescent="0.25">
      <c r="B12" s="49">
        <v>2</v>
      </c>
      <c r="C12" s="17" t="s">
        <v>35</v>
      </c>
      <c r="D12" s="19"/>
      <c r="E12" s="19"/>
      <c r="F12" s="15">
        <v>7776759.6713257497</v>
      </c>
    </row>
    <row r="13" spans="2:8" s="7" customFormat="1" ht="15.75" x14ac:dyDescent="0.25">
      <c r="B13" s="49">
        <v>3</v>
      </c>
      <c r="C13" s="17" t="s">
        <v>25</v>
      </c>
      <c r="D13" s="19"/>
      <c r="E13" s="19"/>
      <c r="F13" s="15">
        <f>F11+F12</f>
        <v>412683600.14736032</v>
      </c>
    </row>
    <row r="14" spans="2:8" s="7" customFormat="1" ht="15.75" x14ac:dyDescent="0.25">
      <c r="B14" s="49"/>
      <c r="C14" s="17"/>
      <c r="D14" s="19"/>
      <c r="E14" s="19"/>
      <c r="F14" s="15"/>
    </row>
    <row r="15" spans="2:8" s="7" customFormat="1" ht="15.75" x14ac:dyDescent="0.25">
      <c r="B15" s="57" t="s">
        <v>24</v>
      </c>
      <c r="C15" s="17"/>
      <c r="D15" s="19"/>
      <c r="E15" s="19"/>
      <c r="F15" s="15"/>
    </row>
    <row r="16" spans="2:8" s="7" customFormat="1" ht="15.75" x14ac:dyDescent="0.25">
      <c r="B16" s="49">
        <v>4</v>
      </c>
      <c r="C16" s="17" t="s">
        <v>23</v>
      </c>
      <c r="D16" s="19">
        <f>'[1]PY2018Benchmark Calc for SS '!D43:J43</f>
        <v>319974344.61493516</v>
      </c>
      <c r="E16" s="19">
        <f>'[1]PY2018Benchmark Calc for SS '!M41*'[1]PY2018Benchmark Calc for SS '!O41*'[1]PY2018Benchmark Calc for SS '!Q41</f>
        <v>11371726.445815492</v>
      </c>
      <c r="F16" s="15">
        <f>D16+E16</f>
        <v>331346071.06075066</v>
      </c>
      <c r="H16" s="56"/>
    </row>
    <row r="17" spans="2:13" s="7" customFormat="1" ht="15.75" x14ac:dyDescent="0.25">
      <c r="B17" s="49">
        <f>B22+1</f>
        <v>8</v>
      </c>
      <c r="C17" s="17" t="s">
        <v>35</v>
      </c>
      <c r="D17" s="19"/>
      <c r="E17" s="19"/>
      <c r="F17" s="15">
        <f>F12</f>
        <v>7776759.6713257497</v>
      </c>
    </row>
    <row r="18" spans="2:13" s="7" customFormat="1" ht="15.75" x14ac:dyDescent="0.25">
      <c r="B18" s="49">
        <v>6</v>
      </c>
      <c r="C18" s="17" t="s">
        <v>22</v>
      </c>
      <c r="D18" s="55"/>
      <c r="E18" s="55"/>
      <c r="F18" s="54">
        <f>F16+F17</f>
        <v>339122830.73207641</v>
      </c>
    </row>
    <row r="19" spans="2:13" s="7" customFormat="1" ht="15.75" x14ac:dyDescent="0.25">
      <c r="B19" s="49"/>
      <c r="C19" s="17"/>
      <c r="D19" s="55"/>
      <c r="E19" s="55"/>
      <c r="F19" s="54"/>
    </row>
    <row r="20" spans="2:13" s="7" customFormat="1" ht="15.75" x14ac:dyDescent="0.25">
      <c r="B20" s="49"/>
      <c r="C20" s="48"/>
      <c r="D20" s="53"/>
      <c r="E20" s="53"/>
      <c r="F20" s="52"/>
    </row>
    <row r="21" spans="2:13" s="7" customFormat="1" ht="15.75" x14ac:dyDescent="0.25">
      <c r="B21" s="21" t="s">
        <v>21</v>
      </c>
      <c r="C21" s="26"/>
      <c r="D21" s="25"/>
      <c r="E21" s="25"/>
      <c r="F21" s="24"/>
    </row>
    <row r="22" spans="2:13" s="7" customFormat="1" ht="15.75" x14ac:dyDescent="0.25">
      <c r="B22" s="11">
        <v>7</v>
      </c>
      <c r="C22" s="48" t="s">
        <v>20</v>
      </c>
      <c r="D22" s="51">
        <f>'[1]2018 Actual Expenditures'!C10</f>
        <v>33047.75</v>
      </c>
      <c r="E22" s="51">
        <f>'[1]2018 Actual Expenditures'!C11</f>
        <v>125.91666669999999</v>
      </c>
      <c r="F22" s="50">
        <f>D22+E22</f>
        <v>33173.666666700003</v>
      </c>
      <c r="H22" s="22"/>
    </row>
    <row r="23" spans="2:13" s="7" customFormat="1" ht="15.75" x14ac:dyDescent="0.25">
      <c r="B23" s="49">
        <f>B22+1</f>
        <v>8</v>
      </c>
      <c r="C23" s="48" t="s">
        <v>19</v>
      </c>
      <c r="D23" s="47">
        <f>'[1]2018 Actual Expenditures'!D10</f>
        <v>396586</v>
      </c>
      <c r="E23" s="47">
        <f>'[1]2018 Actual Expenditures'!D11</f>
        <v>1498</v>
      </c>
      <c r="F23" s="46">
        <f>SUM(D23:E23)</f>
        <v>398084</v>
      </c>
    </row>
    <row r="24" spans="2:13" s="7" customFormat="1" ht="15.75" x14ac:dyDescent="0.25">
      <c r="B24" s="45"/>
      <c r="C24" s="44"/>
      <c r="D24" s="43"/>
      <c r="E24" s="43"/>
      <c r="F24" s="42"/>
      <c r="L24" s="41"/>
      <c r="M24" s="41"/>
    </row>
    <row r="25" spans="2:13" s="7" customFormat="1" ht="15.75" x14ac:dyDescent="0.25">
      <c r="B25" s="21" t="s">
        <v>18</v>
      </c>
      <c r="C25" s="26"/>
      <c r="D25" s="25"/>
      <c r="E25" s="25"/>
      <c r="F25" s="24"/>
    </row>
    <row r="26" spans="2:13" s="7" customFormat="1" ht="15.75" x14ac:dyDescent="0.25">
      <c r="B26" s="11">
        <f>B23+1</f>
        <v>9</v>
      </c>
      <c r="C26" s="40" t="s">
        <v>17</v>
      </c>
      <c r="D26" s="39">
        <f>(D29+D30)/D23</f>
        <v>773.45379942811894</v>
      </c>
      <c r="E26" s="39">
        <f>(E29+E30)/E23</f>
        <v>6037.4286114819761</v>
      </c>
      <c r="F26" s="38">
        <f>(F29+F30)/F23</f>
        <v>793.26226766210152</v>
      </c>
    </row>
    <row r="27" spans="2:13" s="7" customFormat="1" ht="15.75" x14ac:dyDescent="0.25">
      <c r="B27" s="30"/>
      <c r="C27" s="29"/>
      <c r="D27" s="28"/>
      <c r="E27" s="28"/>
      <c r="F27" s="27"/>
    </row>
    <row r="28" spans="2:13" s="7" customFormat="1" ht="18" x14ac:dyDescent="0.25">
      <c r="B28" s="21" t="s">
        <v>16</v>
      </c>
      <c r="C28" s="26"/>
      <c r="D28" s="25"/>
      <c r="E28" s="25"/>
      <c r="F28" s="24"/>
    </row>
    <row r="29" spans="2:13" s="7" customFormat="1" ht="15.75" x14ac:dyDescent="0.25">
      <c r="B29" s="11">
        <f>B26+1</f>
        <v>10</v>
      </c>
      <c r="C29" s="17" t="s">
        <v>15</v>
      </c>
      <c r="D29" s="19">
        <f>'[1]2018 Actual Expenditures'!E10</f>
        <v>167087986</v>
      </c>
      <c r="E29" s="19">
        <f>'[1]2018 Actual Expenditures'!E11</f>
        <v>3834090.2599999709</v>
      </c>
      <c r="F29" s="37">
        <f>SUM(D29:E29)</f>
        <v>170922076.25999996</v>
      </c>
      <c r="H29" s="18"/>
    </row>
    <row r="30" spans="2:13" s="7" customFormat="1" ht="15.75" x14ac:dyDescent="0.25">
      <c r="B30" s="11">
        <v>11</v>
      </c>
      <c r="C30" s="17" t="s">
        <v>14</v>
      </c>
      <c r="D30" s="19">
        <f>'[1]2018 Actual Expenditures'!F10</f>
        <v>139652962.5</v>
      </c>
      <c r="E30" s="19">
        <f>'[1]2018 Actual Expenditures'!F11</f>
        <v>5209977.8000000296</v>
      </c>
      <c r="F30" s="37">
        <f>SUM(D30:E30)</f>
        <v>144862940.30000004</v>
      </c>
      <c r="G30" s="18"/>
      <c r="H30" s="18"/>
    </row>
    <row r="31" spans="2:13" s="7" customFormat="1" ht="15.75" x14ac:dyDescent="0.25">
      <c r="B31" s="11">
        <v>12</v>
      </c>
      <c r="C31" s="17" t="s">
        <v>13</v>
      </c>
      <c r="D31" s="19">
        <f>0.02*(D29+D30)</f>
        <v>6134818.9699999997</v>
      </c>
      <c r="E31" s="19">
        <f>0.02*(E29+E30)</f>
        <v>180881.36120000001</v>
      </c>
      <c r="F31" s="15">
        <f>0.02*(F29+F30)</f>
        <v>6315700.3311999999</v>
      </c>
      <c r="G31" s="18"/>
      <c r="H31" s="36"/>
    </row>
    <row r="32" spans="2:13" s="7" customFormat="1" ht="15.75" x14ac:dyDescent="0.25">
      <c r="B32" s="11">
        <f>B31+1</f>
        <v>13</v>
      </c>
      <c r="C32" s="17" t="s">
        <v>12</v>
      </c>
      <c r="D32" s="35">
        <f>D29+D30+D31</f>
        <v>312875767.47000003</v>
      </c>
      <c r="E32" s="35">
        <f>E29+E30+E31</f>
        <v>9224949.4211999997</v>
      </c>
      <c r="F32" s="15">
        <f>SUM(F29:F31)</f>
        <v>322100716.89120001</v>
      </c>
      <c r="G32" s="14"/>
      <c r="H32" s="23"/>
      <c r="L32" s="18"/>
    </row>
    <row r="33" spans="2:12" s="7" customFormat="1" ht="15.75" x14ac:dyDescent="0.25">
      <c r="B33" s="11"/>
      <c r="C33" s="17"/>
      <c r="D33" s="34"/>
      <c r="E33" s="34"/>
      <c r="F33" s="33"/>
      <c r="G33" s="14"/>
      <c r="H33" s="23"/>
      <c r="L33" s="18"/>
    </row>
    <row r="34" spans="2:12" s="7" customFormat="1" ht="15.75" x14ac:dyDescent="0.25">
      <c r="B34" s="21" t="s">
        <v>11</v>
      </c>
      <c r="C34" s="26"/>
      <c r="D34" s="25"/>
      <c r="E34" s="25"/>
      <c r="F34" s="24"/>
      <c r="G34" s="23"/>
      <c r="L34" s="22"/>
    </row>
    <row r="35" spans="2:12" s="7" customFormat="1" ht="15.75" x14ac:dyDescent="0.25">
      <c r="B35" s="11">
        <f>B32+1</f>
        <v>14</v>
      </c>
      <c r="C35" s="17" t="s">
        <v>10</v>
      </c>
      <c r="D35" s="19"/>
      <c r="E35" s="19"/>
      <c r="F35" s="31">
        <f>-(F13*0.005)</f>
        <v>-2063418.0007368017</v>
      </c>
      <c r="G35" s="18"/>
    </row>
    <row r="36" spans="2:12" s="7" customFormat="1" ht="15.75" x14ac:dyDescent="0.25">
      <c r="B36" s="11">
        <f>B35+1</f>
        <v>15</v>
      </c>
      <c r="C36" s="17" t="s">
        <v>9</v>
      </c>
      <c r="D36" s="19"/>
      <c r="E36" s="19"/>
      <c r="F36" s="32">
        <v>1</v>
      </c>
      <c r="G36" s="18"/>
    </row>
    <row r="37" spans="2:12" s="7" customFormat="1" ht="21" customHeight="1" x14ac:dyDescent="0.25">
      <c r="B37" s="11">
        <f>B36+1</f>
        <v>16</v>
      </c>
      <c r="C37" s="17" t="s">
        <v>8</v>
      </c>
      <c r="D37" s="19"/>
      <c r="E37" s="19"/>
      <c r="F37" s="31">
        <f>F35*(1-F36)</f>
        <v>0</v>
      </c>
      <c r="G37" s="18"/>
    </row>
    <row r="38" spans="2:12" s="7" customFormat="1" ht="15.75" x14ac:dyDescent="0.25">
      <c r="B38" s="30"/>
      <c r="C38" s="29"/>
      <c r="D38" s="28"/>
      <c r="E38" s="28"/>
      <c r="F38" s="27"/>
    </row>
    <row r="39" spans="2:12" s="7" customFormat="1" ht="18" x14ac:dyDescent="0.25">
      <c r="B39" s="21" t="s">
        <v>7</v>
      </c>
      <c r="C39" s="26"/>
      <c r="D39" s="25"/>
      <c r="E39" s="25"/>
      <c r="F39" s="24"/>
      <c r="G39" s="23"/>
      <c r="L39" s="22"/>
    </row>
    <row r="40" spans="2:12" s="7" customFormat="1" ht="15.75" x14ac:dyDescent="0.25">
      <c r="B40" s="11">
        <f>B37+1</f>
        <v>17</v>
      </c>
      <c r="C40" s="17" t="s">
        <v>6</v>
      </c>
      <c r="D40" s="19">
        <f>D16-D32</f>
        <v>7098577.1449351311</v>
      </c>
      <c r="E40" s="19">
        <f>E16-E32</f>
        <v>2146777.0246154927</v>
      </c>
      <c r="F40" s="15">
        <f>F18-F32+F37</f>
        <v>17022113.8408764</v>
      </c>
      <c r="G40" s="18"/>
    </row>
    <row r="41" spans="2:12" s="7" customFormat="1" ht="31.5" x14ac:dyDescent="0.25">
      <c r="B41" s="11">
        <f>B40+1</f>
        <v>18</v>
      </c>
      <c r="C41" s="17" t="s">
        <v>5</v>
      </c>
      <c r="D41" s="19"/>
      <c r="E41" s="19"/>
      <c r="F41" s="15">
        <f>0.05*F13</f>
        <v>20634180.007368017</v>
      </c>
      <c r="G41" s="18"/>
      <c r="H41" s="14"/>
    </row>
    <row r="42" spans="2:12" s="7" customFormat="1" ht="15.75" x14ac:dyDescent="0.25">
      <c r="B42" s="11">
        <f>B41+1</f>
        <v>19</v>
      </c>
      <c r="C42" s="17" t="s">
        <v>4</v>
      </c>
      <c r="D42" s="19"/>
      <c r="E42" s="19"/>
      <c r="F42" s="15">
        <f>MIN(F40,F41)</f>
        <v>17022113.8408764</v>
      </c>
      <c r="G42" s="18"/>
    </row>
    <row r="43" spans="2:12" s="7" customFormat="1" ht="15.75" x14ac:dyDescent="0.25">
      <c r="B43" s="11"/>
      <c r="C43" s="17"/>
      <c r="D43" s="19"/>
      <c r="E43" s="19"/>
      <c r="F43" s="15"/>
      <c r="G43" s="18"/>
    </row>
    <row r="44" spans="2:12" s="7" customFormat="1" ht="15.75" x14ac:dyDescent="0.25">
      <c r="B44" s="21" t="s">
        <v>3</v>
      </c>
      <c r="C44" s="17"/>
      <c r="D44" s="19"/>
      <c r="E44" s="19"/>
      <c r="F44" s="15"/>
      <c r="G44" s="18"/>
    </row>
    <row r="45" spans="2:12" s="7" customFormat="1" ht="31.5" x14ac:dyDescent="0.25">
      <c r="B45" s="20">
        <f>B42+1</f>
        <v>20</v>
      </c>
      <c r="C45" s="17" t="s">
        <v>2</v>
      </c>
      <c r="D45" s="19"/>
      <c r="E45" s="19"/>
      <c r="F45" s="15">
        <f>0.8*F42</f>
        <v>13617691.072701121</v>
      </c>
      <c r="G45" s="18"/>
    </row>
    <row r="46" spans="2:12" s="7" customFormat="1" ht="15.75" x14ac:dyDescent="0.25">
      <c r="B46" s="11">
        <f>B45+1</f>
        <v>21</v>
      </c>
      <c r="C46" s="17" t="s">
        <v>1</v>
      </c>
      <c r="D46" s="16"/>
      <c r="E46" s="16"/>
      <c r="F46" s="15">
        <f>0.02*(F45)</f>
        <v>272353.82145402243</v>
      </c>
      <c r="H46" s="14"/>
    </row>
    <row r="47" spans="2:12" s="7" customFormat="1" ht="15.75" x14ac:dyDescent="0.25">
      <c r="B47" s="11">
        <f>B46+1</f>
        <v>22</v>
      </c>
      <c r="C47" s="13" t="s">
        <v>0</v>
      </c>
      <c r="D47" s="12"/>
      <c r="E47" s="12"/>
      <c r="F47" s="8">
        <f>F45-F46</f>
        <v>13345337.251247099</v>
      </c>
    </row>
    <row r="48" spans="2:12" s="7" customFormat="1" ht="31.5" x14ac:dyDescent="0.25">
      <c r="B48" s="11">
        <f>B47+1</f>
        <v>23</v>
      </c>
      <c r="C48" s="10" t="s">
        <v>36</v>
      </c>
      <c r="D48" s="9"/>
      <c r="E48" s="9"/>
      <c r="F48" s="8">
        <f>F47-F12</f>
        <v>5568577.579921349</v>
      </c>
    </row>
    <row r="49" spans="2:6" ht="15.75" thickBot="1" x14ac:dyDescent="0.3">
      <c r="B49" s="6"/>
      <c r="C49" s="5"/>
      <c r="D49" s="4"/>
      <c r="E49" s="4"/>
      <c r="F49" s="3"/>
    </row>
    <row r="50" spans="2:6" x14ac:dyDescent="0.25">
      <c r="B50" s="79" t="s">
        <v>34</v>
      </c>
      <c r="C50" s="79"/>
      <c r="D50" s="79"/>
      <c r="E50" s="79"/>
      <c r="F50" s="79"/>
    </row>
    <row r="51" spans="2:6" x14ac:dyDescent="0.25">
      <c r="C51" s="2"/>
    </row>
    <row r="52" spans="2:6" x14ac:dyDescent="0.25">
      <c r="C52" s="2"/>
    </row>
  </sheetData>
  <mergeCells count="2">
    <mergeCell ref="D5:F6"/>
    <mergeCell ref="B50:F50"/>
  </mergeCells>
  <hyperlinks>
    <hyperlink ref="C30" location="_ftn1" display="_ftn1" xr:uid="{00265548-4D5D-4545-B603-C6DE754468BA}"/>
  </hyperlink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Settlement Sheet Final (2)</vt:lpstr>
      <vt:lpstr>'2018 Settlement Sheet Final (2)'!_ftnref1</vt:lpstr>
      <vt:lpstr>'2018 Settlement Sheet Final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Tewksbury, Sarah</dc:creator>
  <cp:lastModifiedBy>Tewksbury, Sarah</cp:lastModifiedBy>
  <cp:lastPrinted>2019-12-16T19:51:03Z</cp:lastPrinted>
  <dcterms:created xsi:type="dcterms:W3CDTF">2019-12-16T19:46:46Z</dcterms:created>
  <dcterms:modified xsi:type="dcterms:W3CDTF">2019-12-16T20:31:30Z</dcterms:modified>
</cp:coreProperties>
</file>